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22.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drawings/drawing32.xml" ContentType="application/vnd.openxmlformats-officedocument.drawing+xml"/>
  <Override PartName="/xl/comments28.xml" ContentType="application/vnd.openxmlformats-officedocument.spreadsheetml.comments+xml"/>
  <Override PartName="/xl/drawings/drawing33.xml" ContentType="application/vnd.openxmlformats-officedocument.drawing+xml"/>
  <Override PartName="/xl/comments29.xml" ContentType="application/vnd.openxmlformats-officedocument.spreadsheetml.comments+xml"/>
  <Override PartName="/xl/comments30.xml" ContentType="application/vnd.openxmlformats-officedocument.spreadsheetml.comments+xml"/>
  <Override PartName="/xl/drawings/drawing34.xml" ContentType="application/vnd.openxmlformats-officedocument.drawing+xml"/>
  <Override PartName="/xl/comments31.xml" ContentType="application/vnd.openxmlformats-officedocument.spreadsheetml.comments+xml"/>
  <Override PartName="/xl/drawings/drawing35.xml" ContentType="application/vnd.openxmlformats-officedocument.drawing+xml"/>
  <Override PartName="/xl/comments32.xml" ContentType="application/vnd.openxmlformats-officedocument.spreadsheetml.comments+xml"/>
  <Override PartName="/xl/drawings/drawing36.xml" ContentType="application/vnd.openxmlformats-officedocument.drawing+xml"/>
  <Override PartName="/xl/comments33.xml" ContentType="application/vnd.openxmlformats-officedocument.spreadsheetml.comments+xml"/>
  <Override PartName="/xl/drawings/drawing37.xml" ContentType="application/vnd.openxmlformats-officedocument.drawing+xml"/>
  <Override PartName="/xl/comments34.xml" ContentType="application/vnd.openxmlformats-officedocument.spreadsheetml.comments+xml"/>
  <Override PartName="/xl/comments35.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comments36.xml" ContentType="application/vnd.openxmlformats-officedocument.spreadsheetml.comments+xml"/>
  <Override PartName="/xl/drawings/drawing40.xml" ContentType="application/vnd.openxmlformats-officedocument.drawing+xml"/>
  <Override PartName="/xl/comments37.xml" ContentType="application/vnd.openxmlformats-officedocument.spreadsheetml.comments+xml"/>
  <Override PartName="/xl/drawings/drawing41.xml" ContentType="application/vnd.openxmlformats-officedocument.drawing+xml"/>
  <Override PartName="/xl/comments38.xml" ContentType="application/vnd.openxmlformats-officedocument.spreadsheetml.comments+xml"/>
  <Override PartName="/xl/drawings/drawing42.xml" ContentType="application/vnd.openxmlformats-officedocument.drawing+xml"/>
  <Override PartName="/xl/drawings/drawing43.xml" ContentType="application/vnd.openxmlformats-officedocument.drawing+xml"/>
  <Override PartName="/xl/comments39.xml" ContentType="application/vnd.openxmlformats-officedocument.spreadsheetml.comments+xml"/>
  <Override PartName="/xl/comments40.xml" ContentType="application/vnd.openxmlformats-officedocument.spreadsheetml.comments+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חוברת_עבודה_זו"/>
  <workbookProtection workbookPassword="83C1" lockStructure="1"/>
  <bookViews>
    <workbookView xWindow="5832" yWindow="60" windowWidth="15480" windowHeight="11016" tabRatio="597" firstSheet="38" activeTab="38"/>
  </bookViews>
  <sheets>
    <sheet name="פתיח" sheetId="53" r:id="rId1"/>
    <sheet name="תוכן ענינים להדפסה" sheetId="54" r:id="rId2"/>
    <sheet name="דוח המבקרים" sheetId="57" r:id="rId3"/>
    <sheet name="טופס 1 אקטיב" sheetId="4" r:id="rId4"/>
    <sheet name="טופס 1 פאסיב" sheetId="5" r:id="rId5"/>
    <sheet name="טופס 2" sheetId="6" r:id="rId6"/>
    <sheet name="טופס 3" sheetId="7" r:id="rId7"/>
    <sheet name="טופס 4" sheetId="8" r:id="rId8"/>
    <sheet name="נתונים והתאמות לטופס 4" sheetId="9" r:id="rId9"/>
    <sheet name="ביאורים 1, 2 א-ב" sheetId="52" r:id="rId10"/>
    <sheet name="ביאור 2 ג-ז" sheetId="11" r:id="rId11"/>
    <sheet name="ביאור 2 ח-יד" sheetId="12" r:id="rId12"/>
    <sheet name="ביאור 3" sheetId="13" r:id="rId13"/>
    <sheet name="ביאור 3 המשך" sheetId="14" state="hidden" r:id="rId14"/>
    <sheet name="ביאור 4" sheetId="15" r:id="rId15"/>
    <sheet name="ביאור 5" sheetId="17" r:id="rId16"/>
    <sheet name="ביאורים 6-9" sheetId="16" r:id="rId17"/>
    <sheet name="ביאורים נוספים" sheetId="18" r:id="rId18"/>
    <sheet name="נספח 2 לטופס 1" sheetId="21" r:id="rId19"/>
    <sheet name="נספח 2 לטופס 1 - פירוט א" sheetId="22" r:id="rId20"/>
    <sheet name="נספח 2 לטופס 1 - פירוט ב" sheetId="23" r:id="rId21"/>
    <sheet name="נספח 2 לטופס 1 - פירוט ג" sheetId="24" r:id="rId22"/>
    <sheet name="נספח 2 לטופס 1 - פירוט ד" sheetId="50" r:id="rId23"/>
    <sheet name="נספח 3 לטופס 1" sheetId="25" r:id="rId24"/>
    <sheet name="נספח 1 לטופס 2" sheetId="26" r:id="rId25"/>
    <sheet name="נספח 1 לטופס 2  המשך" sheetId="27" r:id="rId26"/>
    <sheet name="נספח 2 לטופס 2" sheetId="28" r:id="rId27"/>
    <sheet name="נספח 3 לטופס 2" sheetId="51" r:id="rId28"/>
    <sheet name="נספח 4 לטופס 2 חלק א" sheetId="29" r:id="rId29"/>
    <sheet name="נספח 4 לטופס 2 חלק ב" sheetId="20" r:id="rId30"/>
    <sheet name="נספח 5 לטופס 2" sheetId="30" r:id="rId31"/>
    <sheet name="נספח 6 לטופס 2" sheetId="31" r:id="rId32"/>
    <sheet name="נספח 7 לטופס 2" sheetId="35" r:id="rId33"/>
    <sheet name="נספח 8 לטופס 2" sheetId="36" r:id="rId34"/>
    <sheet name="נספח 9 לטופס 2" sheetId="37" r:id="rId35"/>
    <sheet name="נספח 1 לטופס 3" sheetId="32" r:id="rId36"/>
    <sheet name="דוח תמיכות" sheetId="55" r:id="rId37"/>
    <sheet name="ספר לבן" sheetId="33" r:id="rId38"/>
    <sheet name="דוח לתושב" sheetId="34" r:id="rId39"/>
    <sheet name="נספח א" sheetId="19" r:id="rId40"/>
    <sheet name="נתונים לנספח 4 לטופס 2 חלק א" sheetId="45" r:id="rId41"/>
    <sheet name="בדיקות הצלבה" sheetId="38" r:id="rId42"/>
    <sheet name="נתונים משותפים" sheetId="39" r:id="rId43"/>
    <sheet name="נתונים כלליים" sheetId="40" r:id="rId44"/>
    <sheet name="נתונים לטופס 1" sheetId="41" r:id="rId45"/>
    <sheet name="נתונים לטופס 3" sheetId="42" r:id="rId46"/>
    <sheet name="נתונים לנספח 2 לטופס 1" sheetId="43" r:id="rId47"/>
    <sheet name="נתונים לנספח 1 לטופס 2" sheetId="44" r:id="rId48"/>
    <sheet name="הגדרות כלליות" sheetId="46" r:id="rId49"/>
    <sheet name="תוכן הענינים" sheetId="47" r:id="rId50"/>
    <sheet name="מקרא" sheetId="48" r:id="rId51"/>
    <sheet name="ביאורים 1, 2 א-ב ישן" sheetId="10" state="hidden" r:id="rId52"/>
  </sheets>
  <externalReferences>
    <externalReference r:id="rId53"/>
  </externalReferences>
  <definedNames>
    <definedName name="_xlnm._FilterDatabase" localSheetId="48" hidden="1">'הגדרות כלליות'!$M$1:$R$259</definedName>
    <definedName name="_ftn1" localSheetId="2">'דוח המבקרים'!#REF!</definedName>
    <definedName name="_ftnref1" localSheetId="2">'דוח המבקרים'!$B$17</definedName>
    <definedName name="GufMevukar">'הגדרות כלליות'!$D$6</definedName>
    <definedName name="Shana">'הגדרות כלליות'!$D$10</definedName>
    <definedName name="ShanaKodemet">'הגדרות כלליות'!$D$12</definedName>
    <definedName name="SugGufMevukar">'הגדרות כלליות'!$D$8</definedName>
    <definedName name="_xlnm.Print_Area" localSheetId="41">'בדיקות הצלבה'!$A$2:$M$344</definedName>
    <definedName name="_xlnm.Print_Area" localSheetId="10">'ביאור 2 ג-ז'!$A$5:$I$45</definedName>
    <definedName name="_xlnm.Print_Area" localSheetId="11">'ביאור 2 ח-יד'!$A$5:$I$62</definedName>
    <definedName name="_xlnm.Print_Area" localSheetId="12">'ביאור 3'!$A$258:$G$415</definedName>
    <definedName name="_xlnm.Print_Area" localSheetId="14">'ביאור 4'!$A$204:$H$237</definedName>
    <definedName name="_xlnm.Print_Area" localSheetId="15">'ביאור 5'!$A$196:$P$224</definedName>
    <definedName name="_xlnm.Print_Area" localSheetId="9">'ביאורים 1, 2 א-ב'!$A$5:$I$63</definedName>
    <definedName name="_xlnm.Print_Area" localSheetId="51">'ביאורים 1, 2 א-ב ישן'!$A$5:$I$71</definedName>
    <definedName name="_xlnm.Print_Area" localSheetId="16">'ביאורים 6-9'!$A$6:$I$34</definedName>
    <definedName name="_xlnm.Print_Area" localSheetId="17">'ביאורים נוספים'!$A$4:$D$375</definedName>
    <definedName name="_xlnm.Print_Area" localSheetId="2">'דוח המבקרים'!$B$4:$C$37</definedName>
    <definedName name="_xlnm.Print_Area" localSheetId="38">'דוח לתושב'!$B$194:$K$246</definedName>
    <definedName name="_xlnm.Print_Area" localSheetId="36">'דוח תמיכות'!$A$3:$D$122</definedName>
    <definedName name="_xlnm.Print_Area" localSheetId="48">'הגדרות כלליות'!$B$3:$J$22</definedName>
    <definedName name="_xlnm.Print_Area" localSheetId="3">'טופס 1 אקטיב'!$B$100:$I$146</definedName>
    <definedName name="_xlnm.Print_Area" localSheetId="4">'טופס 1 פאסיב'!$B$97:$K$143</definedName>
    <definedName name="_xlnm.Print_Area" localSheetId="5">'טופס 2'!$A$101:$S$161</definedName>
    <definedName name="_xlnm.Print_Area" localSheetId="6">'טופס 3'!$B$98:$J$147</definedName>
    <definedName name="_xlnm.Print_Area" localSheetId="7">'טופס 4'!$B$96:$G$129</definedName>
    <definedName name="_xlnm.Print_Area" localSheetId="50">מקרא!$D$5:$G$13</definedName>
    <definedName name="_xlnm.Print_Area" localSheetId="24">'נספח 1 לטופס 2'!$B$195:$P$228</definedName>
    <definedName name="_xlnm.Print_Area" localSheetId="25">'נספח 1 לטופס 2  המשך'!$B$194:$Q$214</definedName>
    <definedName name="_xlnm.Print_Area" localSheetId="35">'נספח 1 לטופס 3'!$B$194:$T$236</definedName>
    <definedName name="_xlnm.Print_Area" localSheetId="18">'נספח 2 לטופס 1'!$B$205:$L$255</definedName>
    <definedName name="_xlnm.Print_Area" localSheetId="19">'נספח 2 לטופס 1 - פירוט א'!$C$204:$I$247</definedName>
    <definedName name="_xlnm.Print_Area" localSheetId="20">'נספח 2 לטופס 1 - פירוט ב'!$C$203:$K$248</definedName>
    <definedName name="_xlnm.Print_Area" localSheetId="21">'נספח 2 לטופס 1 - פירוט ג'!$B$203:$J$245</definedName>
    <definedName name="_xlnm.Print_Area" localSheetId="22">'נספח 2 לטופס 1 - פירוט ד'!$A$197:$J$247</definedName>
    <definedName name="_xlnm.Print_Area" localSheetId="26">'נספח 2 לטופס 2'!$B$195:$M$222</definedName>
    <definedName name="_xlnm.Print_Area" localSheetId="23">'נספח 3 לטופס 1'!$B$182:$M$226</definedName>
    <definedName name="_xlnm.Print_Area" localSheetId="27">'נספח 3 לטופס 2'!$A$222:$O$270</definedName>
    <definedName name="_xlnm.Print_Area" localSheetId="28">'נספח 4 לטופס 2 חלק א'!$B$195:$Q$250</definedName>
    <definedName name="_xlnm.Print_Area" localSheetId="29">'נספח 4 לטופס 2 חלק ב'!$B$200:$P$248</definedName>
    <definedName name="_xlnm.Print_Area" localSheetId="30">'נספח 5 לטופס 2'!$B$190:$J$235</definedName>
    <definedName name="_xlnm.Print_Area" localSheetId="31">'נספח 6 לטופס 2'!$A$202:$J$242</definedName>
    <definedName name="_xlnm.Print_Area" localSheetId="32">'נספח 7 לטופס 2'!$B$197:$H$266</definedName>
    <definedName name="_xlnm.Print_Area" localSheetId="33">'נספח 8 לטופס 2'!$B$194:$H$263</definedName>
    <definedName name="_xlnm.Print_Area" localSheetId="34">'נספח 9 לטופס 2'!$B$198:$H$266</definedName>
    <definedName name="_xlnm.Print_Area" localSheetId="39">'נספח א'!$B$202:$V$231</definedName>
    <definedName name="_xlnm.Print_Area" localSheetId="8">'נתונים והתאמות לטופס 4'!$B$209:$H$306</definedName>
    <definedName name="_xlnm.Print_Area" localSheetId="43">'נתונים כלליים'!$A$1:$G$18</definedName>
    <definedName name="_xlnm.Print_Area" localSheetId="44">'נתונים לטופס 1'!$A$1:$I$61</definedName>
    <definedName name="_xlnm.Print_Area" localSheetId="45">'נתונים לטופס 3'!$A$1:$F$37</definedName>
    <definedName name="_xlnm.Print_Area" localSheetId="47">'נתונים לנספח 1 לטופס 2'!$B$1:$H$85</definedName>
    <definedName name="_xlnm.Print_Area" localSheetId="46">'נתונים לנספח 2 לטופס 1'!$A$1:$F$28</definedName>
    <definedName name="_xlnm.Print_Area" localSheetId="40">'נתונים לנספח 4 לטופס 2 חלק א'!$A$1:$L$34</definedName>
    <definedName name="_xlnm.Print_Area" localSheetId="42">'נתונים משותפים'!$B$4:$G$44</definedName>
    <definedName name="_xlnm.Print_Area" localSheetId="37">'ספר לבן'!$A$1:$I$117</definedName>
    <definedName name="_xlnm.Print_Area" localSheetId="0">פתיח!$A$5:$J$36</definedName>
    <definedName name="_xlnm.Print_Area" localSheetId="49">'תוכן הענינים'!$A$1:$F$28</definedName>
    <definedName name="_xlnm.Print_Area" localSheetId="1">'תוכן ענינים להדפסה'!$A$6:$I$40</definedName>
    <definedName name="_xlnm.Print_Titles" localSheetId="41">'בדיקות הצלבה'!$2:$7</definedName>
    <definedName name="_xlnm.Print_Titles" localSheetId="42">'נתונים משותפים'!$1:$2</definedName>
    <definedName name="ביאור1" localSheetId="9">'ביאורים 1, 2 א-ב'!$A$8:$J$62</definedName>
    <definedName name="ביאור1">'ביאורים 1, 2 א-ב ישן'!$A$8:$J$71</definedName>
    <definedName name="ביאור1א">'ביאורים 1, 2 א-ב'!$A$8:$I$20</definedName>
    <definedName name="ביאור1ב">'ביאורים 1, 2 א-ב'!$B$21:$I$26</definedName>
    <definedName name="ביאור1ג">'ביאורים 1, 2 א-ב'!$A$27:$I$39</definedName>
    <definedName name="ביאור1ד">'ביאורים 1, 2 א-ב'!$A$40:$I$40</definedName>
    <definedName name="ביאור1ה">'ביאורים 1, 2 א-ב'!$A$41:$I$63</definedName>
    <definedName name="ביאור1חדש">'[1]ביאורים 1, 2 א-ב'!$A$8:$J$71</definedName>
    <definedName name="ביאור2">'ביאור 2 ג-ז'!$B$9:$I$45</definedName>
    <definedName name="ביאור2ב">'ביאור 2 ח-יד'!$B$8:$H$54</definedName>
    <definedName name="ביאור3">'ביאור 3'!$A$263:$E$275</definedName>
    <definedName name="ביאור3_חדש">'ביאור 3'!$A$285:$F$415</definedName>
    <definedName name="ביאור3ב">'ביאור 3'!$A$276:$E$284</definedName>
    <definedName name="ביאור3ג">'ביאור 3'!$A$285:$F$389</definedName>
    <definedName name="ביאור4">'ביאור 4'!$B$208:$H$237</definedName>
    <definedName name="ביאור5">'ביאור 5'!$A$201:$J$208</definedName>
    <definedName name="ביאור5_ב">'ביאור 5'!$B$209:$P$224</definedName>
    <definedName name="ביאור6">'ביאורים 6-9'!$A$9:$J$35</definedName>
    <definedName name="ביאורים_נוספים2">'ביאורים נוספים'!$A$4:$D$375</definedName>
    <definedName name="דוח_המבקרים">'דוח המבקרים'!$B$5:$C$37</definedName>
    <definedName name="דוח_תמיכות">'דוח תמיכות'!$A$3:$D$122</definedName>
    <definedName name="דוחרוח">'נתונים כלליים'!$B$47:$B$56</definedName>
    <definedName name="התאמות_לטופס4">'נתונים והתאמות לטופס 4'!$B$214:$H$261</definedName>
    <definedName name="התאמות_לטופס4_ב">'נתונים והתאמות לטופס 4'!$B$262:$H$306</definedName>
    <definedName name="טופס1_אקטיב">'טופס 1 אקטיב'!$B$103:$I$146</definedName>
    <definedName name="טופס1_פאסיב">'טופס 1 פאסיב'!$B$101:$K$143</definedName>
    <definedName name="טופס2">'טופס 2'!$A$105:$S$156</definedName>
    <definedName name="טופס2_ב">'טופס 2'!$A$158:$R$161</definedName>
    <definedName name="טופס3">'טופס 3'!$B$104:$J$147</definedName>
    <definedName name="טופס4">'טופס 4'!$B$101:$G$128</definedName>
    <definedName name="נספח_2לטופס1ב">'נספח 2 לטופס 1'!$C$255</definedName>
    <definedName name="נספח_א">'נספח א'!$B$207:$V$231</definedName>
    <definedName name="נספח1_לטופס2_חלק_א">'נספח 1 לטופס 2'!$B$201:$P$228</definedName>
    <definedName name="נספח1_לטופס2_חלק_ג" localSheetId="27">'נספח 3 לטופס 2'!$B$228:$O$242</definedName>
    <definedName name="נספח1_לטופס2_חלק_ג">'נספח 1 לטופס 2  המשך'!$B$200:$Q$214</definedName>
    <definedName name="נספח1_לטופס3">'נספח 1 לטופס 3'!$B$199:$T$236</definedName>
    <definedName name="נספח2_לטופס1">'נספח 2 לטופס 1'!$B$211:$L$254</definedName>
    <definedName name="נספח2_לטופס1_פירוט_א">'נספח 2 לטופס 1 - פירוט א'!$C$209:$I$247</definedName>
    <definedName name="נספח2_לטופס1_פירוט_ב">'נספח 2 לטופס 1 - פירוט ב'!$C$210:$K$248</definedName>
    <definedName name="נספח2_לטופס1_פירוט_ג">'נספח 2 לטופס 1 - פירוט ג'!$B$207:$J$245</definedName>
    <definedName name="נספח2_לטופס1_פירוט_ד">'נספח 2 לטופס 1 - פירוט ד'!$B$203:$J$247</definedName>
    <definedName name="נספח2_לטופס2" localSheetId="26">'נספח 2 לטופס 2'!$B$201:$M$222</definedName>
    <definedName name="נספח2_לטופס2">'נספח 2 לטופס 2'!$B$202:$M$223</definedName>
    <definedName name="נספח3_לטופס1">'נספח 3 לטופס 1'!$B$188:$M$226</definedName>
    <definedName name="נספח3_לטופס2">'נספח 3 לטופס 2'!$B$227:$O$266</definedName>
    <definedName name="נספח3_לטופס2_ב">'נספח 3 לטופס 2'!$C$268:$O$270</definedName>
    <definedName name="נספח4_לטופס2" localSheetId="22">'נספח 2 לטופס 1 - פירוט ד'!$B$203:$J$246</definedName>
    <definedName name="נספח4_לטופס2">'נספח 4 לטופס 2 חלק א'!$B$200:$Q$247</definedName>
    <definedName name="נספח4_לטופס2_ב">'נספח 4 לטופס 2 חלק ב'!$A$205:$P$248</definedName>
    <definedName name="נספח5_לטופס2">'נספח 5 לטופס 2'!$B$196:$J$234</definedName>
    <definedName name="נספח6_לטופס2">'נספח 6 לטופס 2'!$B$207:$J$242</definedName>
    <definedName name="נספח7_לטופס2">'נספח 7 לטופס 2'!$B$202:$H$266</definedName>
    <definedName name="נספח8_לטופס2">'נספח 8 לטופס 2'!$B$199:$H$263</definedName>
    <definedName name="נספח9_לטופס2">'נספח 9 לטופס 2'!$B$202:$H$267</definedName>
    <definedName name="פתיח" localSheetId="2">'דוח המבקרים'!$B$2:$D$38</definedName>
    <definedName name="פתיח">פתיח!$A$5:$I$36</definedName>
    <definedName name="תוכן_ענינים_להדפסה">'תוכן ענינים להדפסה'!$A$9:$I$40</definedName>
  </definedNames>
  <calcPr calcId="145621"/>
</workbook>
</file>

<file path=xl/calcChain.xml><?xml version="1.0" encoding="utf-8"?>
<calcChain xmlns="http://schemas.openxmlformats.org/spreadsheetml/2006/main">
  <c r="B170" i="18" l="1"/>
  <c r="C326" i="18" l="1"/>
  <c r="B326" i="18"/>
  <c r="D21" i="17" l="1"/>
  <c r="G21" i="17"/>
  <c r="H30" i="22" l="1"/>
  <c r="B272" i="18" l="1"/>
  <c r="H19" i="20" l="1"/>
  <c r="C54" i="12" l="1"/>
  <c r="D122" i="55" l="1"/>
  <c r="C122" i="55"/>
  <c r="F25" i="20" l="1"/>
  <c r="F20" i="20"/>
  <c r="F19" i="20"/>
  <c r="C183" i="18" l="1"/>
  <c r="E92" i="13" l="1"/>
  <c r="E91" i="13"/>
  <c r="B314" i="18" l="1"/>
  <c r="B6" i="17" l="1"/>
  <c r="B7" i="17"/>
  <c r="D25" i="20" l="1"/>
  <c r="J42" i="20" l="1"/>
  <c r="J28" i="20"/>
  <c r="J25" i="20"/>
  <c r="J19" i="20"/>
  <c r="J11" i="20"/>
  <c r="G37" i="23" l="1"/>
  <c r="G36" i="23"/>
  <c r="G15" i="23" l="1"/>
  <c r="D101" i="55" l="1"/>
  <c r="D111" i="55" s="1"/>
  <c r="C101" i="55"/>
  <c r="C111" i="55" s="1"/>
  <c r="D89" i="55" l="1"/>
  <c r="D110" i="55" s="1"/>
  <c r="C89" i="55"/>
  <c r="C110" i="55" s="1"/>
  <c r="D80" i="55"/>
  <c r="D109" i="55" s="1"/>
  <c r="C80" i="55"/>
  <c r="C109" i="55" s="1"/>
  <c r="D74" i="55"/>
  <c r="D108" i="55" s="1"/>
  <c r="C74" i="55"/>
  <c r="C108" i="55" s="1"/>
  <c r="D23" i="55" l="1"/>
  <c r="D107" i="55" s="1"/>
  <c r="C23" i="55"/>
  <c r="C107" i="55" s="1"/>
  <c r="D13" i="55"/>
  <c r="D106" i="55" s="1"/>
  <c r="D112" i="55" s="1"/>
  <c r="C13" i="55"/>
  <c r="C106" i="55" s="1"/>
  <c r="C112" i="55" s="1"/>
  <c r="A53" i="18" l="1"/>
  <c r="A54" i="18"/>
  <c r="A55" i="18"/>
  <c r="A56" i="18"/>
  <c r="A57" i="18"/>
  <c r="B17" i="25" l="1"/>
  <c r="H288" i="38" l="1"/>
  <c r="H287" i="38"/>
  <c r="H286" i="38"/>
  <c r="H285" i="38"/>
  <c r="H284" i="38"/>
  <c r="H242" i="50" l="1"/>
  <c r="H240" i="50"/>
  <c r="E36" i="38" l="1"/>
  <c r="E35" i="38"/>
  <c r="I36" i="38"/>
  <c r="J36" i="38" l="1"/>
  <c r="K36" i="38"/>
  <c r="L36" i="38"/>
  <c r="I290" i="38" l="1"/>
  <c r="AA1" i="46" l="1"/>
  <c r="C37" i="52" s="1"/>
  <c r="B37" i="52" l="1"/>
  <c r="C38" i="52"/>
  <c r="E38" i="52"/>
  <c r="I38" i="52"/>
  <c r="G38" i="52"/>
  <c r="D38" i="52"/>
  <c r="H38" i="52"/>
  <c r="F38" i="52"/>
  <c r="I308" i="33" l="1"/>
  <c r="H308" i="33"/>
  <c r="A308" i="33"/>
  <c r="Z1" i="46"/>
  <c r="E9" i="22" l="1"/>
  <c r="E146" i="38"/>
  <c r="E49" i="38" l="1"/>
  <c r="C31" i="25" l="1"/>
  <c r="D21" i="45"/>
  <c r="D16" i="45"/>
  <c r="D13" i="45"/>
  <c r="D10" i="45"/>
  <c r="D7" i="45"/>
  <c r="I212" i="38"/>
  <c r="I211" i="38"/>
  <c r="D3" i="55"/>
  <c r="D108" i="4" l="1"/>
  <c r="C108" i="4"/>
  <c r="I108" i="4"/>
  <c r="H108" i="4"/>
  <c r="G108" i="4"/>
  <c r="F108" i="4"/>
  <c r="E108" i="4"/>
  <c r="B108" i="4"/>
  <c r="C9" i="31" l="1"/>
  <c r="B9" i="31"/>
  <c r="V10" i="19"/>
  <c r="T10" i="19"/>
  <c r="R10" i="19"/>
  <c r="J10" i="19"/>
  <c r="H9" i="31" s="1"/>
  <c r="H10" i="19"/>
  <c r="B10" i="19"/>
  <c r="P10" i="19" l="1"/>
  <c r="F9" i="31"/>
  <c r="J240" i="50"/>
  <c r="B240" i="50" s="1"/>
  <c r="C200" i="18" l="1"/>
  <c r="B200" i="18"/>
  <c r="B186" i="18"/>
  <c r="B183" i="18"/>
  <c r="V25" i="19" l="1"/>
  <c r="V22" i="19" l="1"/>
  <c r="V21" i="19"/>
  <c r="V20" i="19"/>
  <c r="V19" i="19"/>
  <c r="V18" i="19"/>
  <c r="V17" i="19"/>
  <c r="V16" i="19"/>
  <c r="V15" i="19"/>
  <c r="V14" i="19"/>
  <c r="V13" i="19"/>
  <c r="V12" i="19"/>
  <c r="V9" i="19"/>
  <c r="V11" i="19"/>
  <c r="U1" i="46"/>
  <c r="X1" i="46" s="1"/>
  <c r="C28" i="52" s="1"/>
  <c r="E46" i="38"/>
  <c r="E42" i="38"/>
  <c r="E214" i="38"/>
  <c r="H283" i="38"/>
  <c r="W1" i="46" l="1"/>
  <c r="C29" i="52" s="1"/>
  <c r="V1" i="46"/>
  <c r="E24" i="38" l="1"/>
  <c r="F51" i="9" l="1"/>
  <c r="H11" i="9"/>
  <c r="F11" i="9"/>
  <c r="H51" i="9"/>
  <c r="E31" i="25"/>
  <c r="E55" i="38"/>
  <c r="E52" i="38"/>
  <c r="I249" i="38"/>
  <c r="I245" i="38"/>
  <c r="D2" i="5"/>
  <c r="E2" i="4"/>
  <c r="T19" i="19"/>
  <c r="A52" i="18" l="1"/>
  <c r="A63" i="18"/>
  <c r="A64" i="18"/>
  <c r="A35" i="18"/>
  <c r="A37" i="18"/>
  <c r="A38" i="18"/>
  <c r="A39" i="18"/>
  <c r="A40" i="18"/>
  <c r="I25" i="29"/>
  <c r="I24" i="29"/>
  <c r="I31" i="29"/>
  <c r="I29" i="29"/>
  <c r="I35" i="38" l="1"/>
  <c r="B351" i="13"/>
  <c r="F351" i="13"/>
  <c r="E351" i="13"/>
  <c r="D351" i="13"/>
  <c r="C351" i="13"/>
  <c r="A351" i="13"/>
  <c r="J228" i="31"/>
  <c r="I228" i="31"/>
  <c r="H228" i="31"/>
  <c r="G228" i="31"/>
  <c r="F228" i="31"/>
  <c r="E228" i="31"/>
  <c r="D228" i="31"/>
  <c r="C228" i="31"/>
  <c r="B228" i="31"/>
  <c r="J227" i="31"/>
  <c r="I227" i="31"/>
  <c r="H227" i="31"/>
  <c r="G227" i="31"/>
  <c r="F227" i="31"/>
  <c r="E227" i="31"/>
  <c r="J226" i="31"/>
  <c r="I226" i="31"/>
  <c r="H226" i="31"/>
  <c r="G226" i="31"/>
  <c r="F226" i="31"/>
  <c r="E226" i="31"/>
  <c r="J225" i="31"/>
  <c r="I225" i="31"/>
  <c r="H225" i="31"/>
  <c r="G225" i="31"/>
  <c r="F225" i="31"/>
  <c r="E225" i="31"/>
  <c r="J224" i="31"/>
  <c r="I224" i="31"/>
  <c r="G224" i="31"/>
  <c r="E224" i="31"/>
  <c r="J223" i="31"/>
  <c r="I223" i="31"/>
  <c r="G223" i="31"/>
  <c r="E223" i="31"/>
  <c r="J222" i="31"/>
  <c r="I222" i="31"/>
  <c r="G222" i="31"/>
  <c r="E222" i="31"/>
  <c r="J221" i="31"/>
  <c r="I221" i="31"/>
  <c r="G221" i="31"/>
  <c r="E221" i="31"/>
  <c r="J220" i="31"/>
  <c r="I220" i="31"/>
  <c r="G220" i="31"/>
  <c r="E220" i="31"/>
  <c r="J219" i="31"/>
  <c r="I219" i="31"/>
  <c r="G219" i="31"/>
  <c r="E219" i="31"/>
  <c r="J218" i="31"/>
  <c r="I218" i="31"/>
  <c r="G218" i="31"/>
  <c r="E218" i="31"/>
  <c r="J217" i="31"/>
  <c r="I217" i="31"/>
  <c r="G217" i="31"/>
  <c r="E217" i="31"/>
  <c r="J216" i="31"/>
  <c r="I216" i="31"/>
  <c r="G216" i="31"/>
  <c r="E216" i="31"/>
  <c r="J215" i="31"/>
  <c r="I215" i="31"/>
  <c r="G215" i="31"/>
  <c r="E215" i="31"/>
  <c r="J214" i="31"/>
  <c r="I214" i="31"/>
  <c r="G214" i="31"/>
  <c r="E214" i="31"/>
  <c r="J213" i="31"/>
  <c r="I213" i="31"/>
  <c r="G213" i="31"/>
  <c r="E213" i="31"/>
  <c r="J212" i="31"/>
  <c r="I212" i="31"/>
  <c r="G212" i="31"/>
  <c r="E212" i="31"/>
  <c r="D22" i="31"/>
  <c r="C22" i="31"/>
  <c r="C224" i="31" s="1"/>
  <c r="B22" i="31"/>
  <c r="C21" i="31"/>
  <c r="C223" i="31" s="1"/>
  <c r="B21" i="31"/>
  <c r="C20" i="31"/>
  <c r="C222" i="31" s="1"/>
  <c r="B20" i="31"/>
  <c r="C19" i="31"/>
  <c r="C221" i="31" s="1"/>
  <c r="B19" i="31"/>
  <c r="C18" i="31"/>
  <c r="C220" i="31" s="1"/>
  <c r="B18" i="31"/>
  <c r="C17" i="31"/>
  <c r="C219" i="31" s="1"/>
  <c r="B17" i="31"/>
  <c r="C16" i="31"/>
  <c r="C218" i="31" s="1"/>
  <c r="B16" i="31"/>
  <c r="C15" i="31"/>
  <c r="C217" i="31" s="1"/>
  <c r="B15" i="31"/>
  <c r="C14" i="31"/>
  <c r="C216" i="31" s="1"/>
  <c r="B14" i="31"/>
  <c r="C13" i="31"/>
  <c r="C215" i="31" s="1"/>
  <c r="B13" i="31"/>
  <c r="C12" i="31"/>
  <c r="C214" i="31" s="1"/>
  <c r="B12" i="31"/>
  <c r="C11" i="31"/>
  <c r="C213" i="31" s="1"/>
  <c r="B11" i="31"/>
  <c r="C10" i="31"/>
  <c r="C212" i="31" s="1"/>
  <c r="B10" i="31"/>
  <c r="U222" i="19"/>
  <c r="S222" i="19"/>
  <c r="Q222" i="19"/>
  <c r="O222" i="19"/>
  <c r="N222" i="19"/>
  <c r="M222" i="19"/>
  <c r="L222" i="19"/>
  <c r="K222" i="19"/>
  <c r="I222" i="19"/>
  <c r="G222" i="19"/>
  <c r="F222" i="19"/>
  <c r="E222" i="19"/>
  <c r="D222" i="19"/>
  <c r="C222" i="19"/>
  <c r="U221" i="19"/>
  <c r="S221" i="19"/>
  <c r="Q221" i="19"/>
  <c r="O221" i="19"/>
  <c r="N221" i="19"/>
  <c r="M221" i="19"/>
  <c r="L221" i="19"/>
  <c r="K221" i="19"/>
  <c r="I221" i="19"/>
  <c r="G221" i="19"/>
  <c r="F221" i="19"/>
  <c r="E221" i="19"/>
  <c r="D221" i="19"/>
  <c r="C221" i="19"/>
  <c r="U220" i="19"/>
  <c r="S220" i="19"/>
  <c r="Q220" i="19"/>
  <c r="O220" i="19"/>
  <c r="N220" i="19"/>
  <c r="M220" i="19"/>
  <c r="L220" i="19"/>
  <c r="K220" i="19"/>
  <c r="I220" i="19"/>
  <c r="G220" i="19"/>
  <c r="F220" i="19"/>
  <c r="E220" i="19"/>
  <c r="D220" i="19"/>
  <c r="C220" i="19"/>
  <c r="U219" i="19"/>
  <c r="S219" i="19"/>
  <c r="Q219" i="19"/>
  <c r="O219" i="19"/>
  <c r="N219" i="19"/>
  <c r="M219" i="19"/>
  <c r="L219" i="19"/>
  <c r="K219" i="19"/>
  <c r="I219" i="19"/>
  <c r="G219" i="19"/>
  <c r="F219" i="19"/>
  <c r="E219" i="19"/>
  <c r="D219" i="19"/>
  <c r="C219" i="19"/>
  <c r="U218" i="19"/>
  <c r="S218" i="19"/>
  <c r="Q218" i="19"/>
  <c r="O218" i="19"/>
  <c r="N218" i="19"/>
  <c r="M218" i="19"/>
  <c r="L218" i="19"/>
  <c r="K218" i="19"/>
  <c r="I218" i="19"/>
  <c r="G218" i="19"/>
  <c r="F218" i="19"/>
  <c r="E218" i="19"/>
  <c r="D218" i="19"/>
  <c r="C218" i="19"/>
  <c r="U217" i="19"/>
  <c r="S217" i="19"/>
  <c r="Q217" i="19"/>
  <c r="O217" i="19"/>
  <c r="N217" i="19"/>
  <c r="M217" i="19"/>
  <c r="L217" i="19"/>
  <c r="K217" i="19"/>
  <c r="I217" i="19"/>
  <c r="G217" i="19"/>
  <c r="F217" i="19"/>
  <c r="E217" i="19"/>
  <c r="D217" i="19"/>
  <c r="C217" i="19"/>
  <c r="U216" i="19"/>
  <c r="S216" i="19"/>
  <c r="Q216" i="19"/>
  <c r="O216" i="19"/>
  <c r="N216" i="19"/>
  <c r="M216" i="19"/>
  <c r="L216" i="19"/>
  <c r="K216" i="19"/>
  <c r="I216" i="19"/>
  <c r="G216" i="19"/>
  <c r="F216" i="19"/>
  <c r="E216" i="19"/>
  <c r="D216" i="19"/>
  <c r="C216" i="19"/>
  <c r="U215" i="19"/>
  <c r="S215" i="19"/>
  <c r="Q215" i="19"/>
  <c r="O215" i="19"/>
  <c r="N215" i="19"/>
  <c r="M215" i="19"/>
  <c r="L215" i="19"/>
  <c r="K215" i="19"/>
  <c r="I215" i="19"/>
  <c r="G215" i="19"/>
  <c r="F215" i="19"/>
  <c r="E215" i="19"/>
  <c r="D215" i="19"/>
  <c r="C215" i="19"/>
  <c r="U214" i="19"/>
  <c r="S214" i="19"/>
  <c r="Q214" i="19"/>
  <c r="O214" i="19"/>
  <c r="N214" i="19"/>
  <c r="M214" i="19"/>
  <c r="L214" i="19"/>
  <c r="K214" i="19"/>
  <c r="I214" i="19"/>
  <c r="G214" i="19"/>
  <c r="F214" i="19"/>
  <c r="E214" i="19"/>
  <c r="D214" i="19"/>
  <c r="C214" i="19"/>
  <c r="U213" i="19"/>
  <c r="S213" i="19"/>
  <c r="Q213" i="19"/>
  <c r="O213" i="19"/>
  <c r="N213" i="19"/>
  <c r="M213" i="19"/>
  <c r="L213" i="19"/>
  <c r="K213" i="19"/>
  <c r="I213" i="19"/>
  <c r="G213" i="19"/>
  <c r="F213" i="19"/>
  <c r="E213" i="19"/>
  <c r="D213" i="19"/>
  <c r="C213" i="19"/>
  <c r="U212" i="19"/>
  <c r="S212" i="19"/>
  <c r="Q212" i="19"/>
  <c r="O212" i="19"/>
  <c r="N212" i="19"/>
  <c r="M212" i="19"/>
  <c r="L212" i="19"/>
  <c r="K212" i="19"/>
  <c r="I212" i="19"/>
  <c r="G212" i="19"/>
  <c r="F212" i="19"/>
  <c r="E212" i="19"/>
  <c r="D212" i="19"/>
  <c r="C212" i="19"/>
  <c r="U211" i="19"/>
  <c r="S211" i="19"/>
  <c r="Q211" i="19"/>
  <c r="O211" i="19"/>
  <c r="N211" i="19"/>
  <c r="M211" i="19"/>
  <c r="L211" i="19"/>
  <c r="K211" i="19"/>
  <c r="I211" i="19"/>
  <c r="G211" i="19"/>
  <c r="F211" i="19"/>
  <c r="E211" i="19"/>
  <c r="D211" i="19"/>
  <c r="C211" i="19"/>
  <c r="U210" i="19"/>
  <c r="S210" i="19"/>
  <c r="Q210" i="19"/>
  <c r="O210" i="19"/>
  <c r="N210" i="19"/>
  <c r="M210" i="19"/>
  <c r="L210" i="19"/>
  <c r="K210" i="19"/>
  <c r="I210" i="19"/>
  <c r="G210" i="19"/>
  <c r="F210" i="19"/>
  <c r="E210" i="19"/>
  <c r="D210" i="19"/>
  <c r="C210" i="19"/>
  <c r="V222" i="19"/>
  <c r="T22" i="19"/>
  <c r="T222" i="19" s="1"/>
  <c r="R22" i="19"/>
  <c r="R222" i="19" s="1"/>
  <c r="J22" i="19"/>
  <c r="H21" i="31" s="1"/>
  <c r="H223" i="31" s="1"/>
  <c r="H22" i="19"/>
  <c r="B22" i="19"/>
  <c r="B222" i="19" s="1"/>
  <c r="V221" i="19"/>
  <c r="T21" i="19"/>
  <c r="T221" i="19" s="1"/>
  <c r="R21" i="19"/>
  <c r="R221" i="19" s="1"/>
  <c r="J21" i="19"/>
  <c r="H20" i="31" s="1"/>
  <c r="H222" i="31" s="1"/>
  <c r="H21" i="19"/>
  <c r="B21" i="19"/>
  <c r="B221" i="19" s="1"/>
  <c r="V220" i="19"/>
  <c r="T20" i="19"/>
  <c r="T220" i="19" s="1"/>
  <c r="R20" i="19"/>
  <c r="R220" i="19" s="1"/>
  <c r="J20" i="19"/>
  <c r="H19" i="31" s="1"/>
  <c r="H221" i="31" s="1"/>
  <c r="H20" i="19"/>
  <c r="B20" i="19"/>
  <c r="B220" i="19" s="1"/>
  <c r="V219" i="19"/>
  <c r="T219" i="19"/>
  <c r="R19" i="19"/>
  <c r="R219" i="19" s="1"/>
  <c r="J19" i="19"/>
  <c r="H18" i="31" s="1"/>
  <c r="H220" i="31" s="1"/>
  <c r="H19" i="19"/>
  <c r="B19" i="19"/>
  <c r="B219" i="19" s="1"/>
  <c r="V218" i="19"/>
  <c r="T18" i="19"/>
  <c r="T218" i="19" s="1"/>
  <c r="R18" i="19"/>
  <c r="R218" i="19" s="1"/>
  <c r="J18" i="19"/>
  <c r="H17" i="31" s="1"/>
  <c r="H219" i="31" s="1"/>
  <c r="H18" i="19"/>
  <c r="B18" i="19"/>
  <c r="B218" i="19" s="1"/>
  <c r="V217" i="19"/>
  <c r="T17" i="19"/>
  <c r="T217" i="19" s="1"/>
  <c r="R17" i="19"/>
  <c r="R217" i="19" s="1"/>
  <c r="J17" i="19"/>
  <c r="H16" i="31" s="1"/>
  <c r="H218" i="31" s="1"/>
  <c r="H17" i="19"/>
  <c r="B17" i="19"/>
  <c r="B217" i="19" s="1"/>
  <c r="V216" i="19"/>
  <c r="T16" i="19"/>
  <c r="T216" i="19" s="1"/>
  <c r="R16" i="19"/>
  <c r="R216" i="19" s="1"/>
  <c r="J16" i="19"/>
  <c r="H15" i="31" s="1"/>
  <c r="H217" i="31" s="1"/>
  <c r="H16" i="19"/>
  <c r="B16" i="19"/>
  <c r="B216" i="19" s="1"/>
  <c r="V215" i="19"/>
  <c r="T15" i="19"/>
  <c r="T215" i="19" s="1"/>
  <c r="R15" i="19"/>
  <c r="R215" i="19" s="1"/>
  <c r="J15" i="19"/>
  <c r="H14" i="31" s="1"/>
  <c r="H216" i="31" s="1"/>
  <c r="H15" i="19"/>
  <c r="B15" i="19"/>
  <c r="B215" i="19" s="1"/>
  <c r="B236" i="31"/>
  <c r="C236" i="31"/>
  <c r="D236" i="31"/>
  <c r="E236" i="31"/>
  <c r="F236" i="31"/>
  <c r="G236" i="31"/>
  <c r="H236" i="31"/>
  <c r="I236" i="31"/>
  <c r="J236" i="31"/>
  <c r="D25" i="31"/>
  <c r="D227" i="31" s="1"/>
  <c r="D24" i="31"/>
  <c r="B226" i="31" s="1"/>
  <c r="D23" i="31"/>
  <c r="B225" i="31" s="1"/>
  <c r="C25" i="31"/>
  <c r="C227" i="31" s="1"/>
  <c r="B25" i="31"/>
  <c r="C24" i="31"/>
  <c r="C226" i="31" s="1"/>
  <c r="B24" i="31"/>
  <c r="C23" i="31"/>
  <c r="C225" i="31" s="1"/>
  <c r="B23" i="31"/>
  <c r="C8" i="31"/>
  <c r="B14" i="19"/>
  <c r="B214" i="19" s="1"/>
  <c r="B13" i="19"/>
  <c r="B213" i="19" s="1"/>
  <c r="B12" i="19"/>
  <c r="B212" i="19" s="1"/>
  <c r="B11" i="19"/>
  <c r="B211" i="19" s="1"/>
  <c r="J111" i="7"/>
  <c r="I111" i="7"/>
  <c r="H111" i="7"/>
  <c r="G111" i="7"/>
  <c r="F111" i="7"/>
  <c r="E111" i="7"/>
  <c r="D111" i="7"/>
  <c r="C111" i="7"/>
  <c r="B111" i="7"/>
  <c r="H21" i="9"/>
  <c r="F21" i="9"/>
  <c r="E88" i="38"/>
  <c r="E31" i="38"/>
  <c r="D8" i="46"/>
  <c r="P2" i="39"/>
  <c r="Q2" i="39" s="1"/>
  <c r="E7" i="39" s="1"/>
  <c r="D9" i="31" s="1"/>
  <c r="M9" i="31" s="1"/>
  <c r="L35" i="38" l="1"/>
  <c r="K35" i="38"/>
  <c r="C52" i="52"/>
  <c r="B15" i="16"/>
  <c r="C11" i="11"/>
  <c r="B11" i="16"/>
  <c r="C17" i="12"/>
  <c r="B5" i="17"/>
  <c r="P22" i="19"/>
  <c r="P222" i="19" s="1"/>
  <c r="P21" i="19"/>
  <c r="P221" i="19" s="1"/>
  <c r="P19" i="19"/>
  <c r="P219" i="19" s="1"/>
  <c r="P20" i="19"/>
  <c r="P220" i="19" s="1"/>
  <c r="P18" i="19"/>
  <c r="P218" i="19" s="1"/>
  <c r="P16" i="19"/>
  <c r="P216" i="19" s="1"/>
  <c r="P17" i="19"/>
  <c r="P217" i="19" s="1"/>
  <c r="P15" i="19"/>
  <c r="P215" i="19" s="1"/>
  <c r="R2" i="39"/>
  <c r="S2" i="39"/>
  <c r="E18" i="39"/>
  <c r="D20" i="31" s="1"/>
  <c r="D222" i="31" s="1"/>
  <c r="H220" i="19"/>
  <c r="F15" i="31"/>
  <c r="F217" i="31" s="1"/>
  <c r="F19" i="31"/>
  <c r="F221" i="31" s="1"/>
  <c r="H215" i="19"/>
  <c r="F14" i="31"/>
  <c r="F216" i="31" s="1"/>
  <c r="F18" i="31"/>
  <c r="F220" i="31" s="1"/>
  <c r="H219" i="19"/>
  <c r="F17" i="31"/>
  <c r="F219" i="31" s="1"/>
  <c r="F21" i="31"/>
  <c r="F223" i="31" s="1"/>
  <c r="H217" i="19"/>
  <c r="H218" i="19"/>
  <c r="H221" i="19"/>
  <c r="F16" i="31"/>
  <c r="F218" i="31" s="1"/>
  <c r="F20" i="31"/>
  <c r="F222" i="31" s="1"/>
  <c r="J215" i="19"/>
  <c r="J216" i="19"/>
  <c r="J217" i="19"/>
  <c r="H222" i="19"/>
  <c r="J218" i="19"/>
  <c r="J219" i="19"/>
  <c r="J220" i="19"/>
  <c r="J221" i="19"/>
  <c r="H216" i="19"/>
  <c r="J222" i="19"/>
  <c r="D225" i="31"/>
  <c r="B227" i="31"/>
  <c r="D226" i="31"/>
  <c r="D224" i="31"/>
  <c r="E15" i="39" l="1"/>
  <c r="D17" i="31" s="1"/>
  <c r="D219" i="31" s="1"/>
  <c r="E11" i="39"/>
  <c r="D13" i="31" s="1"/>
  <c r="D215" i="31" s="1"/>
  <c r="E6" i="39"/>
  <c r="E14" i="39"/>
  <c r="D16" i="31" s="1"/>
  <c r="D218" i="31" s="1"/>
  <c r="E12" i="39"/>
  <c r="D14" i="31" s="1"/>
  <c r="M14" i="31" s="1"/>
  <c r="E8" i="39"/>
  <c r="D10" i="31" s="1"/>
  <c r="D212" i="31" s="1"/>
  <c r="E13" i="39"/>
  <c r="D15" i="31" s="1"/>
  <c r="D217" i="31" s="1"/>
  <c r="E9" i="39"/>
  <c r="D11" i="31" s="1"/>
  <c r="D213" i="31" s="1"/>
  <c r="E17" i="39"/>
  <c r="D19" i="31" s="1"/>
  <c r="B221" i="31" s="1"/>
  <c r="E19" i="39"/>
  <c r="D21" i="31" s="1"/>
  <c r="M21" i="31" s="1"/>
  <c r="E10" i="39"/>
  <c r="D12" i="31" s="1"/>
  <c r="D214" i="31" s="1"/>
  <c r="E16" i="39"/>
  <c r="D18" i="31" s="1"/>
  <c r="M18" i="31" s="1"/>
  <c r="M20" i="31"/>
  <c r="B222" i="31"/>
  <c r="I275" i="38"/>
  <c r="I276" i="38"/>
  <c r="I277" i="38"/>
  <c r="I278" i="38"/>
  <c r="I282" i="38"/>
  <c r="I281" i="38"/>
  <c r="I280" i="38"/>
  <c r="I279" i="38"/>
  <c r="I274" i="38"/>
  <c r="I105" i="38"/>
  <c r="I104" i="38"/>
  <c r="E104" i="38"/>
  <c r="G244" i="34"/>
  <c r="F244" i="34"/>
  <c r="F243" i="34"/>
  <c r="G267" i="35"/>
  <c r="D30" i="33"/>
  <c r="I242" i="34"/>
  <c r="I88" i="33"/>
  <c r="I293" i="33" s="1"/>
  <c r="D88" i="33"/>
  <c r="K245" i="34"/>
  <c r="J245" i="34"/>
  <c r="F49" i="34"/>
  <c r="F246" i="34" s="1"/>
  <c r="F48" i="34"/>
  <c r="F245" i="34" s="1"/>
  <c r="I209" i="38"/>
  <c r="I203" i="38"/>
  <c r="I206" i="38"/>
  <c r="I200" i="38"/>
  <c r="M19" i="31" l="1"/>
  <c r="D216" i="31"/>
  <c r="B218" i="31"/>
  <c r="B220" i="31"/>
  <c r="B216" i="31"/>
  <c r="D221" i="31"/>
  <c r="D220" i="31"/>
  <c r="B219" i="31"/>
  <c r="M17" i="31"/>
  <c r="M16" i="31"/>
  <c r="B217" i="31"/>
  <c r="B223" i="31"/>
  <c r="M15" i="31"/>
  <c r="D223" i="31"/>
  <c r="K41" i="34"/>
  <c r="K236" i="34" s="1"/>
  <c r="D293" i="33"/>
  <c r="I106" i="38"/>
  <c r="L106" i="38" s="1"/>
  <c r="J35" i="38"/>
  <c r="H282" i="38"/>
  <c r="H281" i="38"/>
  <c r="H280" i="38"/>
  <c r="H279" i="38"/>
  <c r="I176" i="38"/>
  <c r="I39" i="38"/>
  <c r="H274" i="38"/>
  <c r="H278" i="38"/>
  <c r="H277" i="38"/>
  <c r="H276" i="38"/>
  <c r="H275" i="38"/>
  <c r="I14" i="29"/>
  <c r="I11" i="29"/>
  <c r="H273" i="38"/>
  <c r="H272" i="38" l="1"/>
  <c r="H271" i="38"/>
  <c r="H270" i="38"/>
  <c r="H269" i="38"/>
  <c r="I142" i="38"/>
  <c r="E142" i="38"/>
  <c r="A382" i="13"/>
  <c r="A381" i="13"/>
  <c r="A380" i="13"/>
  <c r="A379" i="13"/>
  <c r="A378" i="13"/>
  <c r="A377" i="13"/>
  <c r="A376" i="13"/>
  <c r="A375" i="13"/>
  <c r="A374" i="13"/>
  <c r="A373" i="13"/>
  <c r="A372" i="13"/>
  <c r="A371" i="13"/>
  <c r="A370" i="13"/>
  <c r="A369" i="13"/>
  <c r="B382" i="13"/>
  <c r="B367" i="13"/>
  <c r="D367" i="13"/>
  <c r="E367" i="13"/>
  <c r="C367" i="13"/>
  <c r="B381" i="13"/>
  <c r="B379" i="13"/>
  <c r="B378" i="13"/>
  <c r="B377" i="13"/>
  <c r="B376" i="13"/>
  <c r="B380" i="13"/>
  <c r="B373" i="13"/>
  <c r="B372" i="13"/>
  <c r="B371" i="13"/>
  <c r="E382" i="13"/>
  <c r="D382" i="13"/>
  <c r="C382" i="13"/>
  <c r="D381" i="13"/>
  <c r="E380" i="13"/>
  <c r="D380" i="13"/>
  <c r="C380" i="13"/>
  <c r="D379" i="13"/>
  <c r="E378" i="13"/>
  <c r="D378" i="13"/>
  <c r="C378" i="13"/>
  <c r="E377" i="13"/>
  <c r="D377" i="13"/>
  <c r="C377" i="13"/>
  <c r="E376" i="13"/>
  <c r="D376" i="13"/>
  <c r="C376" i="13"/>
  <c r="E375" i="13"/>
  <c r="D375" i="13"/>
  <c r="C375" i="13"/>
  <c r="D374" i="13"/>
  <c r="E373" i="13"/>
  <c r="D373" i="13"/>
  <c r="C373" i="13"/>
  <c r="E372" i="13"/>
  <c r="D372" i="13"/>
  <c r="C372" i="13"/>
  <c r="E371" i="13"/>
  <c r="D371" i="13"/>
  <c r="C371" i="13"/>
  <c r="E370" i="13"/>
  <c r="D370" i="13"/>
  <c r="D369" i="13"/>
  <c r="C368" i="13"/>
  <c r="D368" i="13"/>
  <c r="E368" i="13"/>
  <c r="C111" i="13"/>
  <c r="E121" i="13"/>
  <c r="E379" i="13" s="1"/>
  <c r="C121" i="13"/>
  <c r="C379" i="13" s="1"/>
  <c r="E116" i="13"/>
  <c r="E318" i="13"/>
  <c r="E316" i="13"/>
  <c r="E315" i="13"/>
  <c r="E314" i="13"/>
  <c r="E313" i="13"/>
  <c r="E311" i="13"/>
  <c r="E310" i="13"/>
  <c r="E309" i="13"/>
  <c r="E308" i="13"/>
  <c r="D320" i="13"/>
  <c r="D319" i="13"/>
  <c r="D318" i="13"/>
  <c r="D317" i="13"/>
  <c r="D316" i="13"/>
  <c r="D315" i="13"/>
  <c r="D314" i="13"/>
  <c r="D313" i="13"/>
  <c r="D312" i="13"/>
  <c r="A319" i="13"/>
  <c r="A318" i="13"/>
  <c r="A317" i="13"/>
  <c r="A316" i="13"/>
  <c r="A315" i="13"/>
  <c r="A314" i="13"/>
  <c r="A313" i="13"/>
  <c r="A312" i="13"/>
  <c r="A311" i="13"/>
  <c r="A310" i="13"/>
  <c r="A309" i="13"/>
  <c r="A308" i="13"/>
  <c r="A307" i="13"/>
  <c r="B318" i="13"/>
  <c r="B317" i="13"/>
  <c r="B311" i="13"/>
  <c r="B310" i="13"/>
  <c r="B309" i="13"/>
  <c r="B314" i="13"/>
  <c r="B316" i="13"/>
  <c r="B315" i="13"/>
  <c r="C318" i="13"/>
  <c r="C316" i="13"/>
  <c r="C315" i="13"/>
  <c r="C314" i="13"/>
  <c r="C313" i="13"/>
  <c r="D311" i="13"/>
  <c r="D310" i="13"/>
  <c r="D309" i="13"/>
  <c r="D308" i="13"/>
  <c r="C311" i="13"/>
  <c r="C310" i="13"/>
  <c r="C309" i="13"/>
  <c r="E306" i="13"/>
  <c r="D306" i="13"/>
  <c r="C306" i="13"/>
  <c r="D307" i="13"/>
  <c r="F306" i="13"/>
  <c r="E60" i="13"/>
  <c r="E317" i="13" s="1"/>
  <c r="C60" i="13"/>
  <c r="C317" i="13" s="1"/>
  <c r="E55" i="13"/>
  <c r="C50" i="13"/>
  <c r="E374" i="13" l="1"/>
  <c r="C112" i="13"/>
  <c r="E312" i="13"/>
  <c r="C51" i="13"/>
  <c r="A367" i="13"/>
  <c r="B375" i="13"/>
  <c r="K142" i="38"/>
  <c r="L142" i="38"/>
  <c r="J142" i="38"/>
  <c r="E123" i="13"/>
  <c r="B313" i="13"/>
  <c r="E62" i="13"/>
  <c r="C55" i="13" l="1"/>
  <c r="B308" i="13"/>
  <c r="C308" i="13"/>
  <c r="C116" i="13"/>
  <c r="B370" i="13"/>
  <c r="C370" i="13"/>
  <c r="E381" i="13"/>
  <c r="I21" i="5"/>
  <c r="H18" i="4"/>
  <c r="E319" i="13"/>
  <c r="N19" i="26"/>
  <c r="K6" i="37"/>
  <c r="L8" i="37"/>
  <c r="K8" i="37"/>
  <c r="L8" i="36"/>
  <c r="K8" i="36"/>
  <c r="H267" i="35"/>
  <c r="F267" i="35"/>
  <c r="E267" i="35"/>
  <c r="H237" i="35"/>
  <c r="G237" i="35"/>
  <c r="F237" i="35"/>
  <c r="E237" i="35"/>
  <c r="C37" i="24"/>
  <c r="C36" i="24"/>
  <c r="D37" i="23"/>
  <c r="D36" i="23"/>
  <c r="D37" i="22"/>
  <c r="H84" i="9"/>
  <c r="H291" i="9" s="1"/>
  <c r="H62" i="9"/>
  <c r="H269" i="9" s="1"/>
  <c r="B203" i="17"/>
  <c r="B204" i="17"/>
  <c r="H61" i="9"/>
  <c r="H268" i="9" s="1"/>
  <c r="H60" i="9"/>
  <c r="H59" i="9"/>
  <c r="H266" i="9" s="1"/>
  <c r="F32" i="39"/>
  <c r="E32" i="39"/>
  <c r="G25" i="10" s="1"/>
  <c r="D32" i="39"/>
  <c r="F31" i="39"/>
  <c r="H24" i="10" s="1"/>
  <c r="E31" i="39"/>
  <c r="D31" i="39"/>
  <c r="G24" i="10" s="1"/>
  <c r="B252" i="9"/>
  <c r="C252" i="9"/>
  <c r="D252" i="9"/>
  <c r="E252" i="9"/>
  <c r="F252" i="9"/>
  <c r="G252" i="9"/>
  <c r="H252" i="9"/>
  <c r="B253" i="9"/>
  <c r="C253" i="9"/>
  <c r="D253" i="9"/>
  <c r="E253" i="9"/>
  <c r="F253" i="9"/>
  <c r="G253" i="9"/>
  <c r="H253" i="9"/>
  <c r="B254" i="9"/>
  <c r="C254" i="9"/>
  <c r="D254" i="9"/>
  <c r="E254" i="9"/>
  <c r="F254" i="9"/>
  <c r="G254" i="9"/>
  <c r="H254" i="9"/>
  <c r="C255" i="9"/>
  <c r="D255" i="9"/>
  <c r="E255" i="9"/>
  <c r="G255" i="9"/>
  <c r="H50" i="9"/>
  <c r="H256" i="9" s="1"/>
  <c r="C256" i="9"/>
  <c r="D256" i="9"/>
  <c r="E256" i="9"/>
  <c r="G256" i="9"/>
  <c r="B257" i="9"/>
  <c r="C257" i="9"/>
  <c r="D257" i="9"/>
  <c r="E257" i="9"/>
  <c r="F257" i="9"/>
  <c r="G257" i="9"/>
  <c r="H257" i="9"/>
  <c r="B258" i="9"/>
  <c r="C258" i="9"/>
  <c r="D258" i="9"/>
  <c r="E258" i="9"/>
  <c r="F258" i="9"/>
  <c r="G258" i="9"/>
  <c r="H258" i="9"/>
  <c r="B259" i="9"/>
  <c r="C259" i="9"/>
  <c r="D259" i="9"/>
  <c r="E259" i="9"/>
  <c r="F259" i="9"/>
  <c r="G259" i="9"/>
  <c r="H259" i="9"/>
  <c r="B260" i="9"/>
  <c r="C260" i="9"/>
  <c r="D260" i="9"/>
  <c r="E260" i="9"/>
  <c r="F260" i="9"/>
  <c r="G260" i="9"/>
  <c r="H260" i="9"/>
  <c r="C261" i="9"/>
  <c r="D261" i="9"/>
  <c r="E261" i="9"/>
  <c r="G261" i="9"/>
  <c r="B262" i="9"/>
  <c r="C262" i="9"/>
  <c r="D262" i="9"/>
  <c r="E262" i="9"/>
  <c r="F8" i="9"/>
  <c r="F46" i="9" s="1"/>
  <c r="F262" i="9" s="1"/>
  <c r="G262" i="9"/>
  <c r="B264" i="9"/>
  <c r="C264" i="9"/>
  <c r="D264" i="9"/>
  <c r="E264" i="9"/>
  <c r="F264" i="9"/>
  <c r="G264" i="9"/>
  <c r="H264" i="9"/>
  <c r="C265" i="9"/>
  <c r="D265" i="9"/>
  <c r="E265" i="9"/>
  <c r="G265" i="9"/>
  <c r="C266" i="9"/>
  <c r="D266" i="9"/>
  <c r="E266" i="9"/>
  <c r="G266" i="9"/>
  <c r="C267" i="9"/>
  <c r="D267" i="9"/>
  <c r="E267" i="9"/>
  <c r="G267" i="9"/>
  <c r="C268" i="9"/>
  <c r="D268" i="9"/>
  <c r="E268" i="9"/>
  <c r="G268" i="9"/>
  <c r="C269" i="9"/>
  <c r="D269" i="9"/>
  <c r="E269" i="9"/>
  <c r="G269" i="9"/>
  <c r="B270" i="9"/>
  <c r="C270" i="9"/>
  <c r="D270" i="9"/>
  <c r="E270" i="9"/>
  <c r="F270" i="9"/>
  <c r="G270" i="9"/>
  <c r="H270" i="9"/>
  <c r="B271" i="9"/>
  <c r="C271" i="9"/>
  <c r="D271" i="9"/>
  <c r="E271" i="9"/>
  <c r="F271" i="9"/>
  <c r="G271" i="9"/>
  <c r="H271" i="9"/>
  <c r="C272" i="9"/>
  <c r="D272" i="9"/>
  <c r="E272" i="9"/>
  <c r="G272" i="9"/>
  <c r="B273" i="9"/>
  <c r="C273" i="9"/>
  <c r="D273" i="9"/>
  <c r="E273" i="9"/>
  <c r="F273" i="9"/>
  <c r="G273" i="9"/>
  <c r="H273" i="9"/>
  <c r="F279" i="9"/>
  <c r="H279" i="9"/>
  <c r="F278" i="9"/>
  <c r="H278" i="9"/>
  <c r="F277" i="9"/>
  <c r="H277" i="9"/>
  <c r="F276" i="9"/>
  <c r="H276" i="9"/>
  <c r="F275" i="9"/>
  <c r="H275" i="9"/>
  <c r="C274" i="9"/>
  <c r="E274" i="9"/>
  <c r="F274" i="9"/>
  <c r="G274" i="9"/>
  <c r="H274" i="9"/>
  <c r="B275" i="9"/>
  <c r="C275" i="9"/>
  <c r="D275" i="9"/>
  <c r="E275" i="9"/>
  <c r="G275" i="9"/>
  <c r="B276" i="9"/>
  <c r="C276" i="9"/>
  <c r="D276" i="9"/>
  <c r="E276" i="9"/>
  <c r="G276" i="9"/>
  <c r="B277" i="9"/>
  <c r="C277" i="9"/>
  <c r="D277" i="9"/>
  <c r="E277" i="9"/>
  <c r="G277" i="9"/>
  <c r="B278" i="9"/>
  <c r="C278" i="9"/>
  <c r="D278" i="9"/>
  <c r="E278" i="9"/>
  <c r="G278" i="9"/>
  <c r="B279" i="9"/>
  <c r="C279" i="9"/>
  <c r="D279" i="9"/>
  <c r="E279" i="9"/>
  <c r="G279" i="9"/>
  <c r="C280" i="9"/>
  <c r="D280" i="9"/>
  <c r="E280" i="9"/>
  <c r="F73" i="9"/>
  <c r="F280" i="9" s="1"/>
  <c r="G280" i="9"/>
  <c r="H73" i="9"/>
  <c r="H280" i="9" s="1"/>
  <c r="B281" i="9"/>
  <c r="C281" i="9"/>
  <c r="D281" i="9"/>
  <c r="E281" i="9"/>
  <c r="F281" i="9"/>
  <c r="G281" i="9"/>
  <c r="H281" i="9"/>
  <c r="F287" i="9"/>
  <c r="H287" i="9"/>
  <c r="F286" i="9"/>
  <c r="H286" i="9"/>
  <c r="F285" i="9"/>
  <c r="H285" i="9"/>
  <c r="F284" i="9"/>
  <c r="H284" i="9"/>
  <c r="F283" i="9"/>
  <c r="H283" i="9"/>
  <c r="C282" i="9"/>
  <c r="E282" i="9"/>
  <c r="F282" i="9"/>
  <c r="G282" i="9"/>
  <c r="H282" i="9"/>
  <c r="B283" i="9"/>
  <c r="C283" i="9"/>
  <c r="D283" i="9"/>
  <c r="E283" i="9"/>
  <c r="G283" i="9"/>
  <c r="B284" i="9"/>
  <c r="C284" i="9"/>
  <c r="D284" i="9"/>
  <c r="E284" i="9"/>
  <c r="G284" i="9"/>
  <c r="B285" i="9"/>
  <c r="C285" i="9"/>
  <c r="D285" i="9"/>
  <c r="E285" i="9"/>
  <c r="G285" i="9"/>
  <c r="B286" i="9"/>
  <c r="C286" i="9"/>
  <c r="D286" i="9"/>
  <c r="E286" i="9"/>
  <c r="G286" i="9"/>
  <c r="B287" i="9"/>
  <c r="C287" i="9"/>
  <c r="D287" i="9"/>
  <c r="E287" i="9"/>
  <c r="G287" i="9"/>
  <c r="C288" i="9"/>
  <c r="D288" i="9"/>
  <c r="E288" i="9"/>
  <c r="F81" i="9"/>
  <c r="G288" i="9"/>
  <c r="H81" i="9"/>
  <c r="H288" i="9" s="1"/>
  <c r="B289" i="9"/>
  <c r="C289" i="9"/>
  <c r="D289" i="9"/>
  <c r="E289" i="9"/>
  <c r="F289" i="9"/>
  <c r="G289" i="9"/>
  <c r="H289" i="9"/>
  <c r="B247" i="29"/>
  <c r="B246" i="29"/>
  <c r="B245" i="29"/>
  <c r="B244" i="29"/>
  <c r="B243" i="29"/>
  <c r="B242" i="29"/>
  <c r="B241" i="29"/>
  <c r="B239" i="29"/>
  <c r="B238" i="29"/>
  <c r="B237" i="29"/>
  <c r="B236" i="29"/>
  <c r="B235" i="29"/>
  <c r="B234" i="29"/>
  <c r="I26" i="52"/>
  <c r="I25" i="52"/>
  <c r="G26" i="52"/>
  <c r="G25" i="52"/>
  <c r="H25" i="52"/>
  <c r="H26" i="52"/>
  <c r="H20" i="50"/>
  <c r="H217" i="50" s="1"/>
  <c r="H23" i="50"/>
  <c r="I140" i="38" s="1"/>
  <c r="H13" i="50"/>
  <c r="H29" i="50"/>
  <c r="H16" i="50"/>
  <c r="H40" i="9"/>
  <c r="H247" i="9" s="1"/>
  <c r="H39" i="9"/>
  <c r="H246" i="9" s="1"/>
  <c r="F39" i="9"/>
  <c r="H31" i="9"/>
  <c r="H238" i="9" s="1"/>
  <c r="H30" i="9"/>
  <c r="H237" i="9" s="1"/>
  <c r="H29" i="9"/>
  <c r="H20" i="9"/>
  <c r="H10" i="9"/>
  <c r="H217" i="9" s="1"/>
  <c r="D29" i="50"/>
  <c r="D23" i="50"/>
  <c r="I133" i="38" s="1"/>
  <c r="D13" i="50"/>
  <c r="B277" i="13"/>
  <c r="A2" i="38"/>
  <c r="F3" i="38"/>
  <c r="E8" i="38"/>
  <c r="E9" i="38"/>
  <c r="E10" i="38"/>
  <c r="K10" i="38" s="1"/>
  <c r="E11" i="38"/>
  <c r="J11" i="38" s="1"/>
  <c r="E16" i="38"/>
  <c r="I16" i="38"/>
  <c r="E17" i="38"/>
  <c r="I17" i="38"/>
  <c r="I23" i="38"/>
  <c r="I24" i="38"/>
  <c r="I25" i="38"/>
  <c r="I26" i="38"/>
  <c r="E28" i="38"/>
  <c r="I28" i="38"/>
  <c r="E38" i="38"/>
  <c r="E58" i="38"/>
  <c r="I58" i="38"/>
  <c r="E59" i="38"/>
  <c r="I59" i="38"/>
  <c r="E60" i="38"/>
  <c r="I60" i="38"/>
  <c r="E61" i="38"/>
  <c r="I61" i="38"/>
  <c r="E62" i="38"/>
  <c r="E63" i="38"/>
  <c r="I63" i="38"/>
  <c r="E64" i="38"/>
  <c r="I64" i="38"/>
  <c r="E65" i="38"/>
  <c r="I65" i="38"/>
  <c r="E66" i="38"/>
  <c r="E67" i="38"/>
  <c r="E68" i="38"/>
  <c r="I69" i="38"/>
  <c r="E71" i="38"/>
  <c r="I72" i="38"/>
  <c r="E74" i="38"/>
  <c r="I75" i="38"/>
  <c r="E77" i="38"/>
  <c r="I77" i="38"/>
  <c r="I78" i="38"/>
  <c r="E80" i="38"/>
  <c r="I80" i="38"/>
  <c r="I81" i="38"/>
  <c r="E83" i="38"/>
  <c r="I83" i="38"/>
  <c r="I84" i="38"/>
  <c r="E108" i="38"/>
  <c r="L108" i="38" s="1"/>
  <c r="E109" i="38"/>
  <c r="I111" i="38"/>
  <c r="D116" i="38"/>
  <c r="H116" i="38"/>
  <c r="H117" i="38"/>
  <c r="I117" i="38"/>
  <c r="E119" i="38"/>
  <c r="I120" i="38"/>
  <c r="I124" i="38"/>
  <c r="E125" i="38"/>
  <c r="I125" i="38"/>
  <c r="I126" i="38"/>
  <c r="I128" i="38"/>
  <c r="I129" i="38"/>
  <c r="I132" i="38"/>
  <c r="I135" i="38"/>
  <c r="I136" i="38"/>
  <c r="I139" i="38"/>
  <c r="E143" i="38"/>
  <c r="I143" i="38"/>
  <c r="I144" i="38"/>
  <c r="I146" i="38"/>
  <c r="I147" i="38"/>
  <c r="I149" i="38"/>
  <c r="I150" i="38"/>
  <c r="I152" i="38"/>
  <c r="I153" i="38"/>
  <c r="I171" i="38"/>
  <c r="I173" i="38"/>
  <c r="E213" i="38"/>
  <c r="I213" i="38"/>
  <c r="I214" i="38"/>
  <c r="E215" i="38"/>
  <c r="I215" i="38"/>
  <c r="E259" i="38"/>
  <c r="I259" i="38"/>
  <c r="E260" i="38"/>
  <c r="I260" i="38"/>
  <c r="E261" i="38"/>
  <c r="I261" i="38"/>
  <c r="E262" i="38"/>
  <c r="I262" i="38"/>
  <c r="E263" i="38"/>
  <c r="I263" i="38"/>
  <c r="I264" i="38"/>
  <c r="I265" i="38"/>
  <c r="H266" i="38"/>
  <c r="H267" i="38"/>
  <c r="H268" i="38"/>
  <c r="E291" i="38"/>
  <c r="E292" i="38"/>
  <c r="E293" i="38"/>
  <c r="E294" i="38"/>
  <c r="E295" i="38"/>
  <c r="E296" i="38"/>
  <c r="E297" i="38"/>
  <c r="E298" i="38"/>
  <c r="E299" i="38"/>
  <c r="E300" i="38"/>
  <c r="E301" i="38"/>
  <c r="E302" i="38"/>
  <c r="E303" i="38"/>
  <c r="E304" i="38"/>
  <c r="E305" i="38"/>
  <c r="E306" i="38"/>
  <c r="E307" i="38"/>
  <c r="E308" i="38"/>
  <c r="E309" i="38"/>
  <c r="E310" i="38"/>
  <c r="E311" i="38"/>
  <c r="E312" i="38"/>
  <c r="E313" i="38"/>
  <c r="E314" i="38"/>
  <c r="E315" i="38"/>
  <c r="E316" i="38"/>
  <c r="E317" i="38"/>
  <c r="E318" i="38"/>
  <c r="E319" i="38"/>
  <c r="C320" i="38"/>
  <c r="E320" i="38"/>
  <c r="G1" i="11"/>
  <c r="A5" i="11" s="1"/>
  <c r="G3" i="11"/>
  <c r="A7" i="11" s="1"/>
  <c r="A6" i="11"/>
  <c r="C20" i="11"/>
  <c r="G1" i="12"/>
  <c r="A5" i="12" s="1"/>
  <c r="G3" i="12"/>
  <c r="A7" i="12" s="1"/>
  <c r="A6" i="12"/>
  <c r="C1" i="13"/>
  <c r="A258" i="13" s="1"/>
  <c r="C8" i="13"/>
  <c r="C266" i="13" s="1"/>
  <c r="C14" i="13"/>
  <c r="C272" i="13" s="1"/>
  <c r="E14" i="13"/>
  <c r="E17" i="13" s="1"/>
  <c r="H7" i="4" s="1"/>
  <c r="H105" i="4" s="1"/>
  <c r="C28" i="13"/>
  <c r="C39" i="13"/>
  <c r="C296" i="13" s="1"/>
  <c r="E39" i="13"/>
  <c r="B41" i="13"/>
  <c r="C41" i="13"/>
  <c r="C47" i="13"/>
  <c r="C304" i="13" s="1"/>
  <c r="E47" i="13"/>
  <c r="C65" i="13"/>
  <c r="C71" i="13"/>
  <c r="C328" i="13" s="1"/>
  <c r="E71" i="13"/>
  <c r="E328" i="13" s="1"/>
  <c r="C78" i="13"/>
  <c r="C335" i="13" s="1"/>
  <c r="E78" i="13"/>
  <c r="E335" i="13" s="1"/>
  <c r="C82" i="13"/>
  <c r="C86" i="13"/>
  <c r="G8" i="5" s="1"/>
  <c r="E86" i="13"/>
  <c r="C89" i="13"/>
  <c r="C98" i="13"/>
  <c r="E98" i="13"/>
  <c r="E355" i="13" s="1"/>
  <c r="C100" i="13"/>
  <c r="C108" i="13"/>
  <c r="C366" i="13" s="1"/>
  <c r="E108" i="13"/>
  <c r="I10" i="5" s="1"/>
  <c r="I106" i="5" s="1"/>
  <c r="C125" i="13"/>
  <c r="C131" i="13"/>
  <c r="E131" i="13"/>
  <c r="I23" i="5" s="1"/>
  <c r="C134" i="13"/>
  <c r="C138" i="13"/>
  <c r="C397" i="13" s="1"/>
  <c r="E138" i="13"/>
  <c r="E397" i="13" s="1"/>
  <c r="C140" i="13"/>
  <c r="C144" i="13"/>
  <c r="E144" i="13"/>
  <c r="E403" i="13" s="1"/>
  <c r="C149" i="13"/>
  <c r="C153" i="13"/>
  <c r="G14" i="5" s="1"/>
  <c r="E153" i="13"/>
  <c r="A259" i="13"/>
  <c r="A260" i="13"/>
  <c r="A263" i="13"/>
  <c r="C263" i="13"/>
  <c r="D263" i="13"/>
  <c r="E263" i="13"/>
  <c r="A264" i="13"/>
  <c r="B264" i="13"/>
  <c r="C264" i="13"/>
  <c r="D264" i="13"/>
  <c r="E264" i="13"/>
  <c r="A265" i="13"/>
  <c r="B265" i="13"/>
  <c r="C265" i="13"/>
  <c r="A266" i="13"/>
  <c r="B266" i="13"/>
  <c r="D266" i="13"/>
  <c r="A267" i="13"/>
  <c r="B267" i="13"/>
  <c r="C267" i="13"/>
  <c r="D267" i="13"/>
  <c r="E267" i="13"/>
  <c r="F267" i="13"/>
  <c r="A268" i="13"/>
  <c r="B268" i="13"/>
  <c r="C268" i="13"/>
  <c r="D268" i="13"/>
  <c r="E268" i="13"/>
  <c r="F268" i="13"/>
  <c r="A269" i="13"/>
  <c r="B269" i="13"/>
  <c r="C269" i="13"/>
  <c r="D269" i="13"/>
  <c r="E269" i="13"/>
  <c r="F269" i="13"/>
  <c r="A270" i="13"/>
  <c r="B270" i="13"/>
  <c r="C270" i="13"/>
  <c r="D270" i="13"/>
  <c r="E270" i="13"/>
  <c r="F270" i="13"/>
  <c r="A271" i="13"/>
  <c r="B271" i="13"/>
  <c r="C271" i="13"/>
  <c r="D271" i="13"/>
  <c r="E271" i="13"/>
  <c r="F271" i="13"/>
  <c r="A272" i="13"/>
  <c r="D272" i="13"/>
  <c r="F272" i="13"/>
  <c r="A273" i="13"/>
  <c r="B273" i="13"/>
  <c r="C273" i="13"/>
  <c r="D273" i="13"/>
  <c r="E273" i="13"/>
  <c r="F273" i="13"/>
  <c r="B274" i="13"/>
  <c r="C274" i="13"/>
  <c r="D274" i="13"/>
  <c r="E274" i="13"/>
  <c r="F274" i="13"/>
  <c r="A275" i="13"/>
  <c r="B275" i="13"/>
  <c r="D275" i="13"/>
  <c r="F275" i="13"/>
  <c r="A276" i="13"/>
  <c r="B276" i="13"/>
  <c r="C276" i="13"/>
  <c r="E276" i="13"/>
  <c r="A277" i="13"/>
  <c r="C277" i="13"/>
  <c r="E277" i="13"/>
  <c r="A278" i="13"/>
  <c r="B278" i="13"/>
  <c r="C278" i="13"/>
  <c r="E278" i="13"/>
  <c r="A279" i="13"/>
  <c r="B279" i="13"/>
  <c r="A280" i="13"/>
  <c r="B280" i="13"/>
  <c r="A281" i="13"/>
  <c r="B281" i="13"/>
  <c r="A282" i="13"/>
  <c r="B282" i="13"/>
  <c r="A283" i="13"/>
  <c r="B283" i="13"/>
  <c r="A284" i="13"/>
  <c r="B284" i="13"/>
  <c r="C284" i="13"/>
  <c r="D284" i="13"/>
  <c r="E284" i="13"/>
  <c r="F284" i="13"/>
  <c r="D285" i="13"/>
  <c r="F285" i="13"/>
  <c r="A286" i="13"/>
  <c r="B286" i="13"/>
  <c r="C286" i="13"/>
  <c r="D286" i="13"/>
  <c r="E286" i="13"/>
  <c r="F286" i="13"/>
  <c r="A287" i="13"/>
  <c r="B287" i="13"/>
  <c r="C287" i="13"/>
  <c r="D287" i="13"/>
  <c r="E287" i="13"/>
  <c r="F287" i="13"/>
  <c r="A288" i="13"/>
  <c r="B288" i="13"/>
  <c r="C288" i="13"/>
  <c r="D288" i="13"/>
  <c r="E288" i="13"/>
  <c r="F288" i="13"/>
  <c r="A289" i="13"/>
  <c r="B289" i="13"/>
  <c r="C289" i="13"/>
  <c r="D289" i="13"/>
  <c r="E289" i="13"/>
  <c r="F289" i="13"/>
  <c r="A290" i="13"/>
  <c r="B290" i="13"/>
  <c r="C290" i="13"/>
  <c r="D290" i="13"/>
  <c r="E290" i="13"/>
  <c r="F290" i="13"/>
  <c r="A291" i="13"/>
  <c r="B291" i="13"/>
  <c r="C291" i="13"/>
  <c r="D291" i="13"/>
  <c r="E291" i="13"/>
  <c r="F291" i="13"/>
  <c r="A292" i="13"/>
  <c r="B292" i="13"/>
  <c r="C292" i="13"/>
  <c r="D292" i="13"/>
  <c r="E292" i="13"/>
  <c r="F292" i="13"/>
  <c r="A293" i="13"/>
  <c r="B293" i="13"/>
  <c r="C293" i="13"/>
  <c r="D293" i="13"/>
  <c r="E293" i="13"/>
  <c r="F293" i="13"/>
  <c r="A294" i="13"/>
  <c r="B294" i="13"/>
  <c r="C294" i="13"/>
  <c r="D294" i="13"/>
  <c r="E294" i="13"/>
  <c r="F294" i="13"/>
  <c r="A295" i="13"/>
  <c r="B295" i="13"/>
  <c r="C295" i="13"/>
  <c r="D295" i="13"/>
  <c r="E295" i="13"/>
  <c r="F295" i="13"/>
  <c r="A296" i="13"/>
  <c r="B296" i="13"/>
  <c r="D296" i="13"/>
  <c r="F296" i="13"/>
  <c r="A297" i="13"/>
  <c r="B297" i="13"/>
  <c r="C297" i="13"/>
  <c r="D297" i="13"/>
  <c r="E297" i="13"/>
  <c r="F297" i="13"/>
  <c r="D298" i="13"/>
  <c r="F298" i="13"/>
  <c r="A299" i="13"/>
  <c r="B299" i="13"/>
  <c r="C299" i="13"/>
  <c r="D299" i="13"/>
  <c r="E299" i="13"/>
  <c r="F299" i="13"/>
  <c r="A300" i="13"/>
  <c r="B300" i="13"/>
  <c r="C300" i="13"/>
  <c r="D300" i="13"/>
  <c r="E300" i="13"/>
  <c r="F300" i="13"/>
  <c r="A301" i="13"/>
  <c r="B301" i="13"/>
  <c r="C301" i="13"/>
  <c r="D301" i="13"/>
  <c r="E301" i="13"/>
  <c r="F301" i="13"/>
  <c r="A302" i="13"/>
  <c r="B302" i="13"/>
  <c r="C302" i="13"/>
  <c r="D302" i="13"/>
  <c r="E302" i="13"/>
  <c r="F302" i="13"/>
  <c r="A303" i="13"/>
  <c r="B303" i="13"/>
  <c r="C303" i="13"/>
  <c r="D303" i="13"/>
  <c r="E303" i="13"/>
  <c r="F303" i="13"/>
  <c r="A304" i="13"/>
  <c r="B304" i="13"/>
  <c r="D304" i="13"/>
  <c r="F304" i="13"/>
  <c r="A305" i="13"/>
  <c r="B305" i="13"/>
  <c r="C305" i="13"/>
  <c r="D305" i="13"/>
  <c r="E305" i="13"/>
  <c r="F305" i="13"/>
  <c r="A320" i="13"/>
  <c r="B320" i="13"/>
  <c r="C320" i="13"/>
  <c r="E320" i="13"/>
  <c r="F320" i="13"/>
  <c r="C321" i="13"/>
  <c r="D321" i="13"/>
  <c r="E321" i="13"/>
  <c r="F321" i="13"/>
  <c r="A322" i="13"/>
  <c r="D322" i="13"/>
  <c r="F322" i="13"/>
  <c r="A323" i="13"/>
  <c r="B323" i="13"/>
  <c r="C323" i="13"/>
  <c r="D323" i="13"/>
  <c r="E323" i="13"/>
  <c r="F323" i="13"/>
  <c r="A324" i="13"/>
  <c r="B324" i="13"/>
  <c r="C324" i="13"/>
  <c r="D324" i="13"/>
  <c r="E324" i="13"/>
  <c r="F324" i="13"/>
  <c r="A325" i="13"/>
  <c r="B325" i="13"/>
  <c r="C325" i="13"/>
  <c r="D325" i="13"/>
  <c r="E325" i="13"/>
  <c r="F325" i="13"/>
  <c r="A326" i="13"/>
  <c r="B326" i="13"/>
  <c r="C326" i="13"/>
  <c r="D326" i="13"/>
  <c r="E326" i="13"/>
  <c r="F326" i="13"/>
  <c r="A327" i="13"/>
  <c r="B327" i="13"/>
  <c r="C327" i="13"/>
  <c r="D327" i="13"/>
  <c r="E327" i="13"/>
  <c r="F327" i="13"/>
  <c r="A328" i="13"/>
  <c r="B328" i="13"/>
  <c r="D328" i="13"/>
  <c r="F328" i="13"/>
  <c r="A329" i="13"/>
  <c r="C329" i="13"/>
  <c r="D329" i="13"/>
  <c r="E329" i="13"/>
  <c r="F329" i="13"/>
  <c r="A330" i="13"/>
  <c r="B330" i="13"/>
  <c r="C330" i="13"/>
  <c r="D330" i="13"/>
  <c r="E330" i="13"/>
  <c r="F330" i="13"/>
  <c r="A331" i="13"/>
  <c r="B331" i="13"/>
  <c r="C331" i="13"/>
  <c r="D331" i="13"/>
  <c r="E331" i="13"/>
  <c r="F331" i="13"/>
  <c r="A332" i="13"/>
  <c r="B332" i="13"/>
  <c r="C332" i="13"/>
  <c r="D332" i="13"/>
  <c r="E332" i="13"/>
  <c r="F332" i="13"/>
  <c r="A333" i="13"/>
  <c r="B333" i="13"/>
  <c r="C333" i="13"/>
  <c r="D333" i="13"/>
  <c r="E333" i="13"/>
  <c r="F333" i="13"/>
  <c r="A334" i="13"/>
  <c r="B334" i="13"/>
  <c r="C334" i="13"/>
  <c r="D334" i="13"/>
  <c r="E334" i="13"/>
  <c r="F334" i="13"/>
  <c r="A335" i="13"/>
  <c r="B335" i="13"/>
  <c r="D335" i="13"/>
  <c r="F335" i="13"/>
  <c r="A336" i="13"/>
  <c r="B336" i="13"/>
  <c r="C336" i="13"/>
  <c r="D336" i="13"/>
  <c r="E336" i="13"/>
  <c r="F336" i="13"/>
  <c r="A337" i="13"/>
  <c r="D337" i="13"/>
  <c r="F337" i="13"/>
  <c r="A338" i="13"/>
  <c r="B338" i="13"/>
  <c r="C338" i="13"/>
  <c r="D338" i="13"/>
  <c r="E338" i="13"/>
  <c r="F338" i="13"/>
  <c r="D339" i="13"/>
  <c r="F339" i="13"/>
  <c r="A340" i="13"/>
  <c r="B340" i="13"/>
  <c r="C340" i="13"/>
  <c r="D340" i="13"/>
  <c r="E340" i="13"/>
  <c r="F340" i="13"/>
  <c r="A341" i="13"/>
  <c r="B341" i="13"/>
  <c r="C341" i="13"/>
  <c r="D341" i="13"/>
  <c r="E341" i="13"/>
  <c r="F341" i="13"/>
  <c r="A342" i="13"/>
  <c r="B342" i="13"/>
  <c r="C342" i="13"/>
  <c r="D342" i="13"/>
  <c r="E342" i="13"/>
  <c r="F342" i="13"/>
  <c r="A343" i="13"/>
  <c r="B343" i="13"/>
  <c r="D343" i="13"/>
  <c r="F343" i="13"/>
  <c r="A344" i="13"/>
  <c r="B344" i="13"/>
  <c r="C344" i="13"/>
  <c r="D344" i="13"/>
  <c r="E344" i="13"/>
  <c r="F344" i="13"/>
  <c r="C345" i="13"/>
  <c r="D345" i="13"/>
  <c r="E345" i="13"/>
  <c r="F345" i="13"/>
  <c r="A346" i="13"/>
  <c r="B346" i="13"/>
  <c r="D346" i="13"/>
  <c r="F346" i="13"/>
  <c r="A347" i="13"/>
  <c r="B347" i="13"/>
  <c r="C347" i="13"/>
  <c r="D347" i="13"/>
  <c r="E347" i="13"/>
  <c r="F347" i="13"/>
  <c r="A348" i="13"/>
  <c r="B348" i="13"/>
  <c r="C348" i="13"/>
  <c r="D348" i="13"/>
  <c r="E348" i="13"/>
  <c r="F348" i="13"/>
  <c r="A349" i="13"/>
  <c r="B349" i="13"/>
  <c r="C349" i="13"/>
  <c r="D349" i="13"/>
  <c r="E349" i="13"/>
  <c r="F349" i="13"/>
  <c r="A350" i="13"/>
  <c r="B350" i="13"/>
  <c r="C350" i="13"/>
  <c r="D350" i="13"/>
  <c r="E350" i="13"/>
  <c r="F350" i="13"/>
  <c r="A352" i="13"/>
  <c r="B352" i="13"/>
  <c r="C352" i="13"/>
  <c r="D352" i="13"/>
  <c r="E352" i="13"/>
  <c r="F352" i="13"/>
  <c r="A353" i="13"/>
  <c r="B353" i="13"/>
  <c r="C353" i="13"/>
  <c r="D353" i="13"/>
  <c r="E353" i="13"/>
  <c r="F353" i="13"/>
  <c r="A354" i="13"/>
  <c r="B354" i="13"/>
  <c r="C354" i="13"/>
  <c r="D354" i="13"/>
  <c r="E354" i="13"/>
  <c r="F354" i="13"/>
  <c r="A355" i="13"/>
  <c r="B355" i="13"/>
  <c r="D355" i="13"/>
  <c r="F355" i="13"/>
  <c r="A356" i="13"/>
  <c r="B356" i="13"/>
  <c r="C356" i="13"/>
  <c r="D356" i="13"/>
  <c r="E356" i="13"/>
  <c r="F356" i="13"/>
  <c r="D357" i="13"/>
  <c r="F357" i="13"/>
  <c r="A358" i="13"/>
  <c r="B358" i="13"/>
  <c r="C358" i="13"/>
  <c r="D358" i="13"/>
  <c r="E358" i="13"/>
  <c r="F358" i="13"/>
  <c r="A359" i="13"/>
  <c r="B359" i="13"/>
  <c r="C359" i="13"/>
  <c r="D359" i="13"/>
  <c r="E359" i="13"/>
  <c r="F359" i="13"/>
  <c r="A360" i="13"/>
  <c r="B360" i="13"/>
  <c r="C360" i="13"/>
  <c r="D360" i="13"/>
  <c r="E360" i="13"/>
  <c r="F360" i="13"/>
  <c r="A361" i="13"/>
  <c r="B361" i="13"/>
  <c r="C361" i="13"/>
  <c r="D361" i="13"/>
  <c r="E361" i="13"/>
  <c r="F361" i="13"/>
  <c r="A362" i="13"/>
  <c r="B362" i="13"/>
  <c r="C362" i="13"/>
  <c r="D362" i="13"/>
  <c r="E362" i="13"/>
  <c r="F362" i="13"/>
  <c r="A363" i="13"/>
  <c r="B363" i="13"/>
  <c r="C363" i="13"/>
  <c r="D363" i="13"/>
  <c r="E363" i="13"/>
  <c r="F363" i="13"/>
  <c r="A364" i="13"/>
  <c r="B364" i="13"/>
  <c r="C364" i="13"/>
  <c r="D364" i="13"/>
  <c r="E364" i="13"/>
  <c r="F364" i="13"/>
  <c r="A366" i="13"/>
  <c r="D366" i="13"/>
  <c r="F366" i="13"/>
  <c r="D383" i="13"/>
  <c r="F383" i="13"/>
  <c r="A384" i="13"/>
  <c r="B384" i="13"/>
  <c r="C384" i="13"/>
  <c r="D384" i="13"/>
  <c r="E384" i="13"/>
  <c r="F384" i="13"/>
  <c r="A385" i="13"/>
  <c r="B385" i="13"/>
  <c r="C385" i="13"/>
  <c r="D385" i="13"/>
  <c r="E385" i="13"/>
  <c r="F385" i="13"/>
  <c r="A386" i="13"/>
  <c r="B386" i="13"/>
  <c r="C386" i="13"/>
  <c r="D386" i="13"/>
  <c r="E386" i="13"/>
  <c r="F386" i="13"/>
  <c r="A387" i="13"/>
  <c r="B387" i="13"/>
  <c r="C387" i="13"/>
  <c r="D387" i="13"/>
  <c r="E387" i="13"/>
  <c r="F387" i="13"/>
  <c r="A388" i="13"/>
  <c r="B388" i="13"/>
  <c r="C388" i="13"/>
  <c r="D388" i="13"/>
  <c r="E388" i="13"/>
  <c r="F388" i="13"/>
  <c r="A389" i="13"/>
  <c r="B389" i="13"/>
  <c r="D389" i="13"/>
  <c r="F389" i="13"/>
  <c r="A390" i="13"/>
  <c r="B390" i="13"/>
  <c r="C390" i="13"/>
  <c r="D390" i="13"/>
  <c r="E390" i="13"/>
  <c r="F390" i="13"/>
  <c r="C392" i="13"/>
  <c r="D392" i="13"/>
  <c r="E392" i="13"/>
  <c r="F392" i="13"/>
  <c r="D393" i="13"/>
  <c r="F393" i="13"/>
  <c r="A394" i="13"/>
  <c r="B394" i="13"/>
  <c r="C394" i="13"/>
  <c r="D394" i="13"/>
  <c r="E394" i="13"/>
  <c r="F394" i="13"/>
  <c r="A395" i="13"/>
  <c r="B395" i="13"/>
  <c r="C395" i="13"/>
  <c r="D395" i="13"/>
  <c r="E395" i="13"/>
  <c r="F395" i="13"/>
  <c r="A396" i="13"/>
  <c r="B396" i="13"/>
  <c r="C396" i="13"/>
  <c r="D396" i="13"/>
  <c r="E396" i="13"/>
  <c r="F396" i="13"/>
  <c r="A397" i="13"/>
  <c r="B397" i="13"/>
  <c r="D397" i="13"/>
  <c r="F397" i="13"/>
  <c r="C398" i="13"/>
  <c r="D398" i="13"/>
  <c r="E398" i="13"/>
  <c r="F398" i="13"/>
  <c r="D399" i="13"/>
  <c r="F399" i="13"/>
  <c r="A400" i="13"/>
  <c r="B400" i="13"/>
  <c r="C400" i="13"/>
  <c r="D400" i="13"/>
  <c r="E400" i="13"/>
  <c r="F400" i="13"/>
  <c r="A401" i="13"/>
  <c r="B401" i="13"/>
  <c r="C401" i="13"/>
  <c r="D401" i="13"/>
  <c r="E401" i="13"/>
  <c r="F401" i="13"/>
  <c r="A402" i="13"/>
  <c r="B402" i="13"/>
  <c r="C402" i="13"/>
  <c r="D402" i="13"/>
  <c r="E402" i="13"/>
  <c r="F402" i="13"/>
  <c r="A403" i="13"/>
  <c r="D403" i="13"/>
  <c r="F403" i="13"/>
  <c r="A405" i="13"/>
  <c r="D405" i="13"/>
  <c r="F405" i="13"/>
  <c r="A406" i="13"/>
  <c r="C406" i="13"/>
  <c r="D406" i="13"/>
  <c r="E406" i="13"/>
  <c r="F406" i="13"/>
  <c r="A407" i="13"/>
  <c r="C407" i="13"/>
  <c r="D407" i="13"/>
  <c r="E407" i="13"/>
  <c r="F407" i="13"/>
  <c r="D408" i="13"/>
  <c r="F408" i="13"/>
  <c r="A409" i="13"/>
  <c r="B409" i="13"/>
  <c r="C409" i="13"/>
  <c r="D409" i="13"/>
  <c r="E409" i="13"/>
  <c r="F409" i="13"/>
  <c r="A410" i="13"/>
  <c r="B410" i="13"/>
  <c r="C410" i="13"/>
  <c r="D410" i="13"/>
  <c r="E410" i="13"/>
  <c r="F410" i="13"/>
  <c r="A411" i="13"/>
  <c r="B411" i="13"/>
  <c r="C411" i="13"/>
  <c r="D411" i="13"/>
  <c r="E411" i="13"/>
  <c r="F411" i="13"/>
  <c r="A412" i="13"/>
  <c r="D412" i="13"/>
  <c r="F412" i="13"/>
  <c r="B415" i="13"/>
  <c r="C1" i="15"/>
  <c r="B204" i="15" s="1"/>
  <c r="C7" i="15"/>
  <c r="C209" i="15" s="1"/>
  <c r="E7" i="15"/>
  <c r="E209" i="15" s="1"/>
  <c r="E9" i="15"/>
  <c r="G9" i="15"/>
  <c r="E26" i="38" s="1"/>
  <c r="C19" i="15"/>
  <c r="C21" i="15"/>
  <c r="C223" i="15" s="1"/>
  <c r="E21" i="15"/>
  <c r="E223" i="15" s="1"/>
  <c r="C34" i="15"/>
  <c r="E34" i="15"/>
  <c r="G34" i="15"/>
  <c r="B205" i="15"/>
  <c r="A207" i="15"/>
  <c r="B208" i="15"/>
  <c r="C208" i="15"/>
  <c r="D208" i="15"/>
  <c r="E208" i="15"/>
  <c r="F208" i="15"/>
  <c r="G208" i="15"/>
  <c r="H208" i="15"/>
  <c r="D209" i="15"/>
  <c r="F209" i="15"/>
  <c r="H209" i="15"/>
  <c r="B210" i="15"/>
  <c r="C210" i="15"/>
  <c r="D210" i="15"/>
  <c r="E210" i="15"/>
  <c r="F210" i="15"/>
  <c r="G210" i="15"/>
  <c r="H210" i="15"/>
  <c r="C211" i="15"/>
  <c r="D211" i="15"/>
  <c r="F211" i="15"/>
  <c r="H211" i="15"/>
  <c r="B212" i="15"/>
  <c r="C212" i="15"/>
  <c r="D212" i="15"/>
  <c r="E212" i="15"/>
  <c r="F212" i="15"/>
  <c r="G212" i="15"/>
  <c r="H212" i="15"/>
  <c r="B213" i="15"/>
  <c r="C213" i="15"/>
  <c r="D213" i="15"/>
  <c r="E213" i="15"/>
  <c r="F213" i="15"/>
  <c r="G213" i="15"/>
  <c r="H213" i="15"/>
  <c r="B214" i="15"/>
  <c r="C214" i="15"/>
  <c r="D214" i="15"/>
  <c r="E214" i="15"/>
  <c r="F214" i="15"/>
  <c r="G214" i="15"/>
  <c r="H214" i="15"/>
  <c r="B215" i="15"/>
  <c r="C215" i="15"/>
  <c r="E215" i="15"/>
  <c r="G215" i="15"/>
  <c r="B216" i="15"/>
  <c r="C216" i="15"/>
  <c r="D216" i="15"/>
  <c r="E216" i="15"/>
  <c r="F216" i="15"/>
  <c r="G216" i="15"/>
  <c r="H216" i="15"/>
  <c r="B217" i="15"/>
  <c r="C217" i="15"/>
  <c r="D217" i="15"/>
  <c r="E217" i="15"/>
  <c r="F217" i="15"/>
  <c r="G217" i="15"/>
  <c r="H217" i="15"/>
  <c r="B218" i="15"/>
  <c r="C218" i="15"/>
  <c r="D218" i="15"/>
  <c r="E218" i="15"/>
  <c r="F218" i="15"/>
  <c r="G218" i="15"/>
  <c r="H218" i="15"/>
  <c r="B219" i="15"/>
  <c r="C219" i="15"/>
  <c r="D219" i="15"/>
  <c r="E219" i="15"/>
  <c r="F219" i="15"/>
  <c r="G219" i="15"/>
  <c r="H219" i="15"/>
  <c r="B220" i="15"/>
  <c r="C220" i="15"/>
  <c r="D220" i="15"/>
  <c r="E220" i="15"/>
  <c r="F220" i="15"/>
  <c r="G220" i="15"/>
  <c r="H220" i="15"/>
  <c r="B221" i="15"/>
  <c r="D221" i="15"/>
  <c r="F221" i="15"/>
  <c r="H221" i="15"/>
  <c r="B222" i="15"/>
  <c r="C222" i="15"/>
  <c r="D222" i="15"/>
  <c r="E222" i="15"/>
  <c r="F222" i="15"/>
  <c r="G222" i="15"/>
  <c r="H222" i="15"/>
  <c r="B223" i="15"/>
  <c r="D223" i="15"/>
  <c r="F223" i="15"/>
  <c r="H223" i="15"/>
  <c r="B224" i="15"/>
  <c r="C224" i="15"/>
  <c r="D224" i="15"/>
  <c r="E224" i="15"/>
  <c r="F224" i="15"/>
  <c r="G224" i="15"/>
  <c r="H224" i="15"/>
  <c r="B225" i="15"/>
  <c r="C225" i="15"/>
  <c r="D225" i="15"/>
  <c r="E225" i="15"/>
  <c r="F225" i="15"/>
  <c r="G225" i="15"/>
  <c r="H225" i="15"/>
  <c r="B226" i="15"/>
  <c r="C226" i="15"/>
  <c r="D226" i="15"/>
  <c r="E226" i="15"/>
  <c r="F226" i="15"/>
  <c r="G226" i="15"/>
  <c r="H226" i="15"/>
  <c r="B227" i="15"/>
  <c r="C227" i="15"/>
  <c r="D227" i="15"/>
  <c r="E227" i="15"/>
  <c r="F227" i="15"/>
  <c r="G227" i="15"/>
  <c r="H227" i="15"/>
  <c r="B228" i="15"/>
  <c r="C228" i="15"/>
  <c r="D228" i="15"/>
  <c r="E228" i="15"/>
  <c r="F228" i="15"/>
  <c r="G228" i="15"/>
  <c r="H228" i="15"/>
  <c r="B229" i="15"/>
  <c r="C229" i="15"/>
  <c r="E229" i="15"/>
  <c r="G229" i="15"/>
  <c r="B230" i="15"/>
  <c r="C230" i="15"/>
  <c r="D230" i="15"/>
  <c r="E230" i="15"/>
  <c r="F230" i="15"/>
  <c r="G230" i="15"/>
  <c r="H230" i="15"/>
  <c r="B231" i="15"/>
  <c r="C231" i="15"/>
  <c r="D231" i="15"/>
  <c r="E231" i="15"/>
  <c r="F231" i="15"/>
  <c r="G231" i="15"/>
  <c r="H231" i="15"/>
  <c r="B232" i="15"/>
  <c r="C232" i="15"/>
  <c r="D232" i="15"/>
  <c r="E232" i="15"/>
  <c r="F232" i="15"/>
  <c r="G232" i="15"/>
  <c r="H232" i="15"/>
  <c r="B233" i="15"/>
  <c r="C233" i="15"/>
  <c r="D233" i="15"/>
  <c r="E233" i="15"/>
  <c r="F233" i="15"/>
  <c r="G233" i="15"/>
  <c r="H233" i="15"/>
  <c r="B234" i="15"/>
  <c r="C234" i="15"/>
  <c r="D234" i="15"/>
  <c r="E234" i="15"/>
  <c r="F234" i="15"/>
  <c r="G234" i="15"/>
  <c r="H234" i="15"/>
  <c r="B235" i="15"/>
  <c r="C235" i="15"/>
  <c r="D235" i="15"/>
  <c r="E235" i="15"/>
  <c r="F235" i="15"/>
  <c r="G235" i="15"/>
  <c r="H235" i="15"/>
  <c r="B236" i="15"/>
  <c r="D236" i="15"/>
  <c r="F236" i="15"/>
  <c r="H236" i="15"/>
  <c r="B237" i="15"/>
  <c r="D1" i="17"/>
  <c r="A196" i="17" s="1"/>
  <c r="B202" i="17"/>
  <c r="I14" i="17"/>
  <c r="H28" i="9" s="1"/>
  <c r="H235" i="9" s="1"/>
  <c r="O14" i="17"/>
  <c r="H58" i="9" s="1"/>
  <c r="H265" i="9" s="1"/>
  <c r="I15" i="17"/>
  <c r="I212" i="17" s="1"/>
  <c r="O15" i="17"/>
  <c r="O212" i="17" s="1"/>
  <c r="I16" i="17"/>
  <c r="I213" i="17" s="1"/>
  <c r="O16" i="17"/>
  <c r="O213" i="17" s="1"/>
  <c r="I17" i="17"/>
  <c r="I214" i="17" s="1"/>
  <c r="O17" i="17"/>
  <c r="O214" i="17" s="1"/>
  <c r="I18" i="17"/>
  <c r="O18" i="17"/>
  <c r="O215" i="17" s="1"/>
  <c r="I19" i="17"/>
  <c r="O19" i="17"/>
  <c r="O216" i="17" s="1"/>
  <c r="I20" i="17"/>
  <c r="I217" i="17" s="1"/>
  <c r="O20" i="17"/>
  <c r="I21" i="17"/>
  <c r="I218" i="17" s="1"/>
  <c r="O21" i="17"/>
  <c r="O218" i="17" s="1"/>
  <c r="I22" i="17"/>
  <c r="I219" i="17" s="1"/>
  <c r="O22" i="17"/>
  <c r="O219" i="17" s="1"/>
  <c r="I23" i="17"/>
  <c r="I220" i="17" s="1"/>
  <c r="O23" i="17"/>
  <c r="O220" i="17" s="1"/>
  <c r="I24" i="17"/>
  <c r="I221" i="17" s="1"/>
  <c r="O24" i="17"/>
  <c r="C26" i="17"/>
  <c r="I29" i="38" s="1"/>
  <c r="D26" i="17"/>
  <c r="D223" i="17" s="1"/>
  <c r="E26" i="17"/>
  <c r="E223" i="17" s="1"/>
  <c r="F26" i="17"/>
  <c r="G26" i="17"/>
  <c r="G223" i="17" s="1"/>
  <c r="H26" i="17"/>
  <c r="H223" i="17" s="1"/>
  <c r="J26" i="17"/>
  <c r="F20" i="9" s="1"/>
  <c r="F227" i="9" s="1"/>
  <c r="K26" i="17"/>
  <c r="K223" i="17" s="1"/>
  <c r="L26" i="17"/>
  <c r="F84" i="9" s="1"/>
  <c r="F291" i="9" s="1"/>
  <c r="M26" i="17"/>
  <c r="M223" i="17" s="1"/>
  <c r="N26" i="17"/>
  <c r="N223" i="17" s="1"/>
  <c r="A197" i="17"/>
  <c r="A198" i="17"/>
  <c r="B201" i="17"/>
  <c r="A202" i="17"/>
  <c r="A203" i="17"/>
  <c r="A204" i="17"/>
  <c r="A205" i="17"/>
  <c r="B205" i="17"/>
  <c r="A206" i="17"/>
  <c r="B206" i="17"/>
  <c r="G206" i="17"/>
  <c r="H206" i="17"/>
  <c r="I206" i="17"/>
  <c r="J206" i="17"/>
  <c r="M206" i="17"/>
  <c r="N206" i="17"/>
  <c r="O206" i="17"/>
  <c r="P206" i="17"/>
  <c r="A207" i="17"/>
  <c r="B207" i="17"/>
  <c r="E207" i="17"/>
  <c r="F207" i="17"/>
  <c r="G207" i="17"/>
  <c r="H207" i="17"/>
  <c r="I207" i="17"/>
  <c r="J207" i="17"/>
  <c r="M207" i="17"/>
  <c r="N207" i="17"/>
  <c r="O207" i="17"/>
  <c r="P207" i="17"/>
  <c r="A209" i="17"/>
  <c r="B209" i="17"/>
  <c r="C209" i="17"/>
  <c r="D209" i="17"/>
  <c r="E209" i="17"/>
  <c r="F209" i="17"/>
  <c r="G209" i="17"/>
  <c r="H209" i="17"/>
  <c r="I209" i="17"/>
  <c r="J209" i="17"/>
  <c r="K209" i="17"/>
  <c r="L209" i="17"/>
  <c r="M209" i="17"/>
  <c r="N209" i="17"/>
  <c r="O209" i="17"/>
  <c r="P209" i="17"/>
  <c r="A210" i="17"/>
  <c r="B210" i="17"/>
  <c r="C210" i="17"/>
  <c r="D210" i="17"/>
  <c r="E210" i="17"/>
  <c r="F210" i="17"/>
  <c r="G210" i="17"/>
  <c r="H210" i="17"/>
  <c r="I210" i="17"/>
  <c r="J210" i="17"/>
  <c r="M210" i="17"/>
  <c r="N210" i="17"/>
  <c r="O210" i="17"/>
  <c r="P210" i="17"/>
  <c r="A211" i="17"/>
  <c r="C211" i="17"/>
  <c r="D211" i="17"/>
  <c r="E211" i="17"/>
  <c r="F211" i="17"/>
  <c r="G211" i="17"/>
  <c r="H211" i="17"/>
  <c r="J211" i="17"/>
  <c r="K211" i="17"/>
  <c r="L211" i="17"/>
  <c r="M211" i="17"/>
  <c r="N211" i="17"/>
  <c r="A212" i="17"/>
  <c r="C212" i="17"/>
  <c r="D212" i="17"/>
  <c r="E212" i="17"/>
  <c r="F212" i="17"/>
  <c r="G212" i="17"/>
  <c r="H212" i="17"/>
  <c r="J212" i="17"/>
  <c r="K212" i="17"/>
  <c r="L212" i="17"/>
  <c r="M212" i="17"/>
  <c r="N212" i="17"/>
  <c r="A213" i="17"/>
  <c r="C213" i="17"/>
  <c r="D213" i="17"/>
  <c r="E213" i="17"/>
  <c r="F213" i="17"/>
  <c r="G213" i="17"/>
  <c r="H213" i="17"/>
  <c r="J213" i="17"/>
  <c r="K213" i="17"/>
  <c r="L213" i="17"/>
  <c r="M213" i="17"/>
  <c r="N213" i="17"/>
  <c r="A214" i="17"/>
  <c r="C214" i="17"/>
  <c r="D214" i="17"/>
  <c r="E214" i="17"/>
  <c r="F214" i="17"/>
  <c r="G214" i="17"/>
  <c r="H214" i="17"/>
  <c r="J214" i="17"/>
  <c r="K214" i="17"/>
  <c r="L214" i="17"/>
  <c r="M214" i="17"/>
  <c r="N214" i="17"/>
  <c r="A215" i="17"/>
  <c r="C215" i="17"/>
  <c r="D215" i="17"/>
  <c r="E215" i="17"/>
  <c r="F215" i="17"/>
  <c r="G215" i="17"/>
  <c r="H215" i="17"/>
  <c r="J215" i="17"/>
  <c r="K215" i="17"/>
  <c r="L215" i="17"/>
  <c r="M215" i="17"/>
  <c r="N215" i="17"/>
  <c r="A216" i="17"/>
  <c r="C216" i="17"/>
  <c r="D216" i="17"/>
  <c r="E216" i="17"/>
  <c r="F216" i="17"/>
  <c r="G216" i="17"/>
  <c r="H216" i="17"/>
  <c r="J216" i="17"/>
  <c r="K216" i="17"/>
  <c r="L216" i="17"/>
  <c r="M216" i="17"/>
  <c r="N216" i="17"/>
  <c r="A217" i="17"/>
  <c r="C217" i="17"/>
  <c r="D217" i="17"/>
  <c r="E217" i="17"/>
  <c r="F217" i="17"/>
  <c r="G217" i="17"/>
  <c r="H217" i="17"/>
  <c r="J217" i="17"/>
  <c r="K217" i="17"/>
  <c r="L217" i="17"/>
  <c r="M217" i="17"/>
  <c r="N217" i="17"/>
  <c r="A218" i="17"/>
  <c r="C218" i="17"/>
  <c r="D218" i="17"/>
  <c r="E218" i="17"/>
  <c r="F218" i="17"/>
  <c r="G218" i="17"/>
  <c r="H218" i="17"/>
  <c r="J218" i="17"/>
  <c r="K218" i="17"/>
  <c r="L218" i="17"/>
  <c r="M218" i="17"/>
  <c r="N218" i="17"/>
  <c r="A219" i="17"/>
  <c r="C219" i="17"/>
  <c r="D219" i="17"/>
  <c r="E219" i="17"/>
  <c r="F219" i="17"/>
  <c r="G219" i="17"/>
  <c r="H219" i="17"/>
  <c r="J219" i="17"/>
  <c r="K219" i="17"/>
  <c r="L219" i="17"/>
  <c r="M219" i="17"/>
  <c r="N219" i="17"/>
  <c r="C220" i="17"/>
  <c r="D220" i="17"/>
  <c r="E220" i="17"/>
  <c r="F220" i="17"/>
  <c r="G220" i="17"/>
  <c r="H220" i="17"/>
  <c r="J220" i="17"/>
  <c r="K220" i="17"/>
  <c r="L220" i="17"/>
  <c r="M220" i="17"/>
  <c r="N220" i="17"/>
  <c r="C221" i="17"/>
  <c r="D221" i="17"/>
  <c r="E221" i="17"/>
  <c r="F221" i="17"/>
  <c r="G221" i="17"/>
  <c r="H221" i="17"/>
  <c r="J221" i="17"/>
  <c r="K221" i="17"/>
  <c r="L221" i="17"/>
  <c r="M221" i="17"/>
  <c r="N221" i="17"/>
  <c r="A222" i="17"/>
  <c r="B222" i="17"/>
  <c r="C222" i="17"/>
  <c r="D222" i="17"/>
  <c r="E222" i="17"/>
  <c r="F222" i="17"/>
  <c r="G222" i="17"/>
  <c r="H222" i="17"/>
  <c r="I222" i="17"/>
  <c r="J222" i="17"/>
  <c r="K222" i="17"/>
  <c r="L222" i="17"/>
  <c r="M222" i="17"/>
  <c r="N222" i="17"/>
  <c r="O222" i="17"/>
  <c r="P222" i="17"/>
  <c r="A223" i="17"/>
  <c r="A224" i="17"/>
  <c r="B224" i="17"/>
  <c r="F1" i="52"/>
  <c r="A5" i="52" s="1"/>
  <c r="F3" i="52"/>
  <c r="B7" i="52" s="1"/>
  <c r="A6" i="52"/>
  <c r="F1" i="10"/>
  <c r="A5" i="10" s="1"/>
  <c r="F3" i="10"/>
  <c r="B7" i="10" s="1"/>
  <c r="A6" i="10"/>
  <c r="I24" i="10"/>
  <c r="I25" i="10"/>
  <c r="H26" i="10"/>
  <c r="I26" i="10"/>
  <c r="H27" i="10"/>
  <c r="I27" i="10"/>
  <c r="E1" i="16"/>
  <c r="A5" i="16" s="1"/>
  <c r="A6" i="16"/>
  <c r="A7" i="16"/>
  <c r="B13" i="57"/>
  <c r="E1" i="34"/>
  <c r="B194" i="34" s="1"/>
  <c r="E2" i="34"/>
  <c r="B195" i="34" s="1"/>
  <c r="C5" i="34"/>
  <c r="C6" i="34"/>
  <c r="G6" i="34"/>
  <c r="G201" i="34" s="1"/>
  <c r="C7" i="34"/>
  <c r="C202" i="34" s="1"/>
  <c r="G7" i="34"/>
  <c r="G202" i="34" s="1"/>
  <c r="C10" i="34"/>
  <c r="C18" i="34" s="1"/>
  <c r="C213" i="34" s="1"/>
  <c r="D10" i="34"/>
  <c r="J10" i="34"/>
  <c r="J28" i="34" s="1"/>
  <c r="J223" i="34" s="1"/>
  <c r="J15" i="34"/>
  <c r="J210" i="34" s="1"/>
  <c r="K15" i="34"/>
  <c r="K210" i="34" s="1"/>
  <c r="B48" i="34"/>
  <c r="B245" i="34" s="1"/>
  <c r="B196" i="34"/>
  <c r="B200" i="34"/>
  <c r="E200" i="34"/>
  <c r="F200" i="34"/>
  <c r="G200" i="34"/>
  <c r="H200" i="34"/>
  <c r="I200" i="34"/>
  <c r="J200" i="34"/>
  <c r="K200" i="34"/>
  <c r="B201" i="34"/>
  <c r="E201" i="34"/>
  <c r="I201" i="34"/>
  <c r="J201" i="34"/>
  <c r="K201" i="34"/>
  <c r="B202" i="34"/>
  <c r="E202" i="34"/>
  <c r="I202" i="34"/>
  <c r="J202" i="34"/>
  <c r="K202" i="34"/>
  <c r="B203" i="34"/>
  <c r="C203" i="34"/>
  <c r="D203" i="34"/>
  <c r="E203" i="34"/>
  <c r="F203" i="34"/>
  <c r="G203" i="34"/>
  <c r="H203" i="34"/>
  <c r="I203" i="34"/>
  <c r="J203" i="34"/>
  <c r="K203" i="34"/>
  <c r="B204" i="34"/>
  <c r="H204" i="34"/>
  <c r="I204" i="34"/>
  <c r="B205" i="34"/>
  <c r="E205" i="34"/>
  <c r="G205" i="34"/>
  <c r="H205" i="34"/>
  <c r="I205" i="34"/>
  <c r="H206" i="34"/>
  <c r="H207" i="34"/>
  <c r="H208" i="34"/>
  <c r="H209" i="34"/>
  <c r="H210" i="34"/>
  <c r="H211" i="34"/>
  <c r="B212" i="34"/>
  <c r="C212" i="34"/>
  <c r="D212" i="34"/>
  <c r="E212" i="34"/>
  <c r="F212" i="34"/>
  <c r="G212" i="34"/>
  <c r="H212" i="34"/>
  <c r="B213" i="34"/>
  <c r="E213" i="34"/>
  <c r="G213" i="34"/>
  <c r="H213" i="34"/>
  <c r="I213" i="34"/>
  <c r="J213" i="34"/>
  <c r="K213" i="34"/>
  <c r="H214" i="34"/>
  <c r="I214" i="34"/>
  <c r="H215" i="34"/>
  <c r="H216" i="34"/>
  <c r="H217" i="34"/>
  <c r="H218" i="34"/>
  <c r="H219" i="34"/>
  <c r="H220" i="34"/>
  <c r="H221" i="34"/>
  <c r="H222" i="34"/>
  <c r="I222" i="34"/>
  <c r="J222" i="34"/>
  <c r="K222" i="34"/>
  <c r="B223" i="34"/>
  <c r="C223" i="34"/>
  <c r="D223" i="34"/>
  <c r="E223" i="34"/>
  <c r="F223" i="34"/>
  <c r="G223" i="34"/>
  <c r="H223" i="34"/>
  <c r="I223" i="34"/>
  <c r="E224" i="34"/>
  <c r="G224" i="34"/>
  <c r="H224" i="34"/>
  <c r="B225" i="34"/>
  <c r="C225" i="34"/>
  <c r="D225" i="34"/>
  <c r="E225" i="34"/>
  <c r="F225" i="34"/>
  <c r="G225" i="34"/>
  <c r="H225" i="34"/>
  <c r="I225" i="34"/>
  <c r="J225" i="34"/>
  <c r="K225" i="34"/>
  <c r="B226" i="34"/>
  <c r="C226" i="34"/>
  <c r="D226" i="34"/>
  <c r="E226" i="34"/>
  <c r="F226" i="34"/>
  <c r="G226" i="34"/>
  <c r="H226" i="34"/>
  <c r="I226" i="34"/>
  <c r="J226" i="34"/>
  <c r="K226" i="34"/>
  <c r="B227" i="34"/>
  <c r="E227" i="34"/>
  <c r="F227" i="34"/>
  <c r="G227" i="34"/>
  <c r="H227" i="34"/>
  <c r="I227" i="34"/>
  <c r="E228" i="34"/>
  <c r="F228" i="34"/>
  <c r="G228" i="34"/>
  <c r="H228" i="34"/>
  <c r="I228" i="34"/>
  <c r="E229" i="34"/>
  <c r="F229" i="34"/>
  <c r="G229" i="34"/>
  <c r="H229" i="34"/>
  <c r="E230" i="34"/>
  <c r="F230" i="34"/>
  <c r="G230" i="34"/>
  <c r="H230" i="34"/>
  <c r="E231" i="34"/>
  <c r="F231" i="34"/>
  <c r="G231" i="34"/>
  <c r="H231" i="34"/>
  <c r="E232" i="34"/>
  <c r="F232" i="34"/>
  <c r="G232" i="34"/>
  <c r="H232" i="34"/>
  <c r="E233" i="34"/>
  <c r="F233" i="34"/>
  <c r="G233" i="34"/>
  <c r="H233" i="34"/>
  <c r="B234" i="34"/>
  <c r="C234" i="34"/>
  <c r="D234" i="34"/>
  <c r="E234" i="34"/>
  <c r="F234" i="34"/>
  <c r="G234" i="34"/>
  <c r="H234" i="34"/>
  <c r="B235" i="34"/>
  <c r="C235" i="34"/>
  <c r="D235" i="34"/>
  <c r="E235" i="34"/>
  <c r="F235" i="34"/>
  <c r="G235" i="34"/>
  <c r="H235" i="34"/>
  <c r="B238" i="34"/>
  <c r="E238" i="34"/>
  <c r="F238" i="34"/>
  <c r="G238" i="34"/>
  <c r="H238" i="34"/>
  <c r="B239" i="34"/>
  <c r="E239" i="34"/>
  <c r="F239" i="34"/>
  <c r="G239" i="34"/>
  <c r="H239" i="34"/>
  <c r="E240" i="34"/>
  <c r="F240" i="34"/>
  <c r="G240" i="34"/>
  <c r="H240" i="34"/>
  <c r="E241" i="34"/>
  <c r="F241" i="34"/>
  <c r="G241" i="34"/>
  <c r="H241" i="34"/>
  <c r="E242" i="34"/>
  <c r="F242" i="34"/>
  <c r="G242" i="34"/>
  <c r="H242" i="34"/>
  <c r="E243" i="34"/>
  <c r="B244" i="34"/>
  <c r="C244" i="34"/>
  <c r="D244" i="34"/>
  <c r="E244" i="34"/>
  <c r="C245" i="34"/>
  <c r="D245" i="34"/>
  <c r="E245" i="34"/>
  <c r="D12" i="46"/>
  <c r="H334" i="38" s="1"/>
  <c r="D14" i="46"/>
  <c r="F29" i="39" s="1"/>
  <c r="E1" i="4"/>
  <c r="B100" i="4" s="1"/>
  <c r="B101" i="4"/>
  <c r="F5" i="4"/>
  <c r="F103" i="4" s="1"/>
  <c r="J40" i="4"/>
  <c r="F47" i="4"/>
  <c r="E22" i="38" s="1"/>
  <c r="H47" i="4"/>
  <c r="B102" i="4"/>
  <c r="B103" i="4"/>
  <c r="C103" i="4"/>
  <c r="D103" i="4"/>
  <c r="E103" i="4"/>
  <c r="G103" i="4"/>
  <c r="C104" i="4"/>
  <c r="D104" i="4"/>
  <c r="E104" i="4"/>
  <c r="F104" i="4"/>
  <c r="G104" i="4"/>
  <c r="H104" i="4"/>
  <c r="I104" i="4"/>
  <c r="C105" i="4"/>
  <c r="D105" i="4"/>
  <c r="G105" i="4"/>
  <c r="I105" i="4"/>
  <c r="C106" i="4"/>
  <c r="D106" i="4"/>
  <c r="G106" i="4"/>
  <c r="I106" i="4"/>
  <c r="C107" i="4"/>
  <c r="D107" i="4"/>
  <c r="G107" i="4"/>
  <c r="I107" i="4"/>
  <c r="B109" i="4"/>
  <c r="E109" i="4"/>
  <c r="F109" i="4"/>
  <c r="G109" i="4"/>
  <c r="H109" i="4"/>
  <c r="I109" i="4"/>
  <c r="B110" i="4"/>
  <c r="C110" i="4"/>
  <c r="D110" i="4"/>
  <c r="E110" i="4"/>
  <c r="G110" i="4"/>
  <c r="I110" i="4"/>
  <c r="B111" i="4"/>
  <c r="C111" i="4"/>
  <c r="D111" i="4"/>
  <c r="E111" i="4"/>
  <c r="F111" i="4"/>
  <c r="G111" i="4"/>
  <c r="H111" i="4"/>
  <c r="I111" i="4"/>
  <c r="B112" i="4"/>
  <c r="C112" i="4"/>
  <c r="D112" i="4"/>
  <c r="E112" i="4"/>
  <c r="F112" i="4"/>
  <c r="G112" i="4"/>
  <c r="H112" i="4"/>
  <c r="I112" i="4"/>
  <c r="B113" i="4"/>
  <c r="C113" i="4"/>
  <c r="D113" i="4"/>
  <c r="E113" i="4"/>
  <c r="F113" i="4"/>
  <c r="G113" i="4"/>
  <c r="H113" i="4"/>
  <c r="I113" i="4"/>
  <c r="B114" i="4"/>
  <c r="E114" i="4"/>
  <c r="F114" i="4"/>
  <c r="G114" i="4"/>
  <c r="H114" i="4"/>
  <c r="I114" i="4"/>
  <c r="B115" i="4"/>
  <c r="C115" i="4"/>
  <c r="D115" i="4"/>
  <c r="E115" i="4"/>
  <c r="F115" i="4"/>
  <c r="G115" i="4"/>
  <c r="H115" i="4"/>
  <c r="I115" i="4"/>
  <c r="C116" i="4"/>
  <c r="D116" i="4"/>
  <c r="G116" i="4"/>
  <c r="I116" i="4"/>
  <c r="B117" i="4"/>
  <c r="C117" i="4"/>
  <c r="D117" i="4"/>
  <c r="E117" i="4"/>
  <c r="F117" i="4"/>
  <c r="G117" i="4"/>
  <c r="H117" i="4"/>
  <c r="I117" i="4"/>
  <c r="G118" i="4"/>
  <c r="I118" i="4"/>
  <c r="B119" i="4"/>
  <c r="C119" i="4"/>
  <c r="D119" i="4"/>
  <c r="E119" i="4"/>
  <c r="F119" i="4"/>
  <c r="G119" i="4"/>
  <c r="H119" i="4"/>
  <c r="I119" i="4"/>
  <c r="B120" i="4"/>
  <c r="C120" i="4"/>
  <c r="D120" i="4"/>
  <c r="E120" i="4"/>
  <c r="F120" i="4"/>
  <c r="G120" i="4"/>
  <c r="H120" i="4"/>
  <c r="I120" i="4"/>
  <c r="B121" i="4"/>
  <c r="C121" i="4"/>
  <c r="D121" i="4"/>
  <c r="E121" i="4"/>
  <c r="F121" i="4"/>
  <c r="G121" i="4"/>
  <c r="H121" i="4"/>
  <c r="I121" i="4"/>
  <c r="C122" i="4"/>
  <c r="D122" i="4"/>
  <c r="E122" i="4"/>
  <c r="F122" i="4"/>
  <c r="G122" i="4"/>
  <c r="H122" i="4"/>
  <c r="I122" i="4"/>
  <c r="C123" i="4"/>
  <c r="D123" i="4"/>
  <c r="G123" i="4"/>
  <c r="I123" i="4"/>
  <c r="D124" i="4"/>
  <c r="G124" i="4"/>
  <c r="I124" i="4"/>
  <c r="C125" i="4"/>
  <c r="D125" i="4"/>
  <c r="G125" i="4"/>
  <c r="I125" i="4"/>
  <c r="C126" i="4"/>
  <c r="D126" i="4"/>
  <c r="G126" i="4"/>
  <c r="I126" i="4"/>
  <c r="C127" i="4"/>
  <c r="D127" i="4"/>
  <c r="G127" i="4"/>
  <c r="I127" i="4"/>
  <c r="B128" i="4"/>
  <c r="C128" i="4"/>
  <c r="D128" i="4"/>
  <c r="E128" i="4"/>
  <c r="F128" i="4"/>
  <c r="G128" i="4"/>
  <c r="H128" i="4"/>
  <c r="I128" i="4"/>
  <c r="B129" i="4"/>
  <c r="D129" i="4"/>
  <c r="E129" i="4"/>
  <c r="F129" i="4"/>
  <c r="G129" i="4"/>
  <c r="H129" i="4"/>
  <c r="I129" i="4"/>
  <c r="B130" i="4"/>
  <c r="C130" i="4"/>
  <c r="D130" i="4"/>
  <c r="E130" i="4"/>
  <c r="F130" i="4"/>
  <c r="G130" i="4"/>
  <c r="H130" i="4"/>
  <c r="I130" i="4"/>
  <c r="B131" i="4"/>
  <c r="D131" i="4"/>
  <c r="E131" i="4"/>
  <c r="F131" i="4"/>
  <c r="G131" i="4"/>
  <c r="H131" i="4"/>
  <c r="I131" i="4"/>
  <c r="B132" i="4"/>
  <c r="D132" i="4"/>
  <c r="E132" i="4"/>
  <c r="F132" i="4"/>
  <c r="G132" i="4"/>
  <c r="H132" i="4"/>
  <c r="I132" i="4"/>
  <c r="B133" i="4"/>
  <c r="C133" i="4"/>
  <c r="D133" i="4"/>
  <c r="E133" i="4"/>
  <c r="F133" i="4"/>
  <c r="G133" i="4"/>
  <c r="H133" i="4"/>
  <c r="I133" i="4"/>
  <c r="C134" i="4"/>
  <c r="D134" i="4"/>
  <c r="G134" i="4"/>
  <c r="I134" i="4"/>
  <c r="B135" i="4"/>
  <c r="D135" i="4"/>
  <c r="E135" i="4"/>
  <c r="F135" i="4"/>
  <c r="G135" i="4"/>
  <c r="H135" i="4"/>
  <c r="I135" i="4"/>
  <c r="B136" i="4"/>
  <c r="C136" i="4"/>
  <c r="D136" i="4"/>
  <c r="E136" i="4"/>
  <c r="F136" i="4"/>
  <c r="G136" i="4"/>
  <c r="H136" i="4"/>
  <c r="I136" i="4"/>
  <c r="B137" i="4"/>
  <c r="C137" i="4"/>
  <c r="D137" i="4"/>
  <c r="E137" i="4"/>
  <c r="G137" i="4"/>
  <c r="I137" i="4"/>
  <c r="B138" i="4"/>
  <c r="C138" i="4"/>
  <c r="D138" i="4"/>
  <c r="E138" i="4"/>
  <c r="F138" i="4"/>
  <c r="G138" i="4"/>
  <c r="H138" i="4"/>
  <c r="I138" i="4"/>
  <c r="B139" i="4"/>
  <c r="C139" i="4"/>
  <c r="D139" i="4"/>
  <c r="E139" i="4"/>
  <c r="F139" i="4"/>
  <c r="G139" i="4"/>
  <c r="H139" i="4"/>
  <c r="I139" i="4"/>
  <c r="C140" i="4"/>
  <c r="D140" i="4"/>
  <c r="E140" i="4"/>
  <c r="G140" i="4"/>
  <c r="I140" i="4"/>
  <c r="B141" i="4"/>
  <c r="C141" i="4"/>
  <c r="D141" i="4"/>
  <c r="E141" i="4"/>
  <c r="F141" i="4"/>
  <c r="G141" i="4"/>
  <c r="H141" i="4"/>
  <c r="I141" i="4"/>
  <c r="C142" i="4"/>
  <c r="D142" i="4"/>
  <c r="E142" i="4"/>
  <c r="F142" i="4"/>
  <c r="G142" i="4"/>
  <c r="H142" i="4"/>
  <c r="I142" i="4"/>
  <c r="B143" i="4"/>
  <c r="C143" i="4"/>
  <c r="D143" i="4"/>
  <c r="E143" i="4"/>
  <c r="F143" i="4"/>
  <c r="G143" i="4"/>
  <c r="H143" i="4"/>
  <c r="I143" i="4"/>
  <c r="B144" i="4"/>
  <c r="C144" i="4"/>
  <c r="D144" i="4"/>
  <c r="E144" i="4"/>
  <c r="F144" i="4"/>
  <c r="G144" i="4"/>
  <c r="H144" i="4"/>
  <c r="I144" i="4"/>
  <c r="B145" i="4"/>
  <c r="C145" i="4"/>
  <c r="D145" i="4"/>
  <c r="E145" i="4"/>
  <c r="G145" i="4"/>
  <c r="I145" i="4"/>
  <c r="B146" i="4"/>
  <c r="D1" i="5"/>
  <c r="B97" i="5" s="1"/>
  <c r="B98" i="5"/>
  <c r="G5" i="5"/>
  <c r="G101" i="5" s="1"/>
  <c r="I5" i="5"/>
  <c r="I101" i="5" s="1"/>
  <c r="B99" i="5"/>
  <c r="K100" i="5"/>
  <c r="B101" i="5"/>
  <c r="C101" i="5"/>
  <c r="D101" i="5"/>
  <c r="E101" i="5"/>
  <c r="F101" i="5"/>
  <c r="H101" i="5"/>
  <c r="J101" i="5"/>
  <c r="K101" i="5"/>
  <c r="B102" i="5"/>
  <c r="C102" i="5"/>
  <c r="D102" i="5"/>
  <c r="E102" i="5"/>
  <c r="F102" i="5"/>
  <c r="G102" i="5"/>
  <c r="H102" i="5"/>
  <c r="I102" i="5"/>
  <c r="J102" i="5"/>
  <c r="K102" i="5"/>
  <c r="C103" i="5"/>
  <c r="D103" i="5"/>
  <c r="E103" i="5"/>
  <c r="F103" i="5"/>
  <c r="G103" i="5"/>
  <c r="H103" i="5"/>
  <c r="I103" i="5"/>
  <c r="J103" i="5"/>
  <c r="K103" i="5"/>
  <c r="C104" i="5"/>
  <c r="D104" i="5"/>
  <c r="E104" i="5"/>
  <c r="H104" i="5"/>
  <c r="J104" i="5"/>
  <c r="K104" i="5"/>
  <c r="C105" i="5"/>
  <c r="D105" i="5"/>
  <c r="E105" i="5"/>
  <c r="H105" i="5"/>
  <c r="J105" i="5"/>
  <c r="K105" i="5"/>
  <c r="C106" i="5"/>
  <c r="D106" i="5"/>
  <c r="E106" i="5"/>
  <c r="H106" i="5"/>
  <c r="J106" i="5"/>
  <c r="K106" i="5"/>
  <c r="B107" i="5"/>
  <c r="E107" i="5"/>
  <c r="F107" i="5"/>
  <c r="G107" i="5"/>
  <c r="H107" i="5"/>
  <c r="I107" i="5"/>
  <c r="J107" i="5"/>
  <c r="K107" i="5"/>
  <c r="C108" i="5"/>
  <c r="D108" i="5"/>
  <c r="E108" i="5"/>
  <c r="F108" i="5"/>
  <c r="H108" i="5"/>
  <c r="J108" i="5"/>
  <c r="K108" i="5"/>
  <c r="B109" i="5"/>
  <c r="C109" i="5"/>
  <c r="D109" i="5"/>
  <c r="E109" i="5"/>
  <c r="F109" i="5"/>
  <c r="G109" i="5"/>
  <c r="H109" i="5"/>
  <c r="I109" i="5"/>
  <c r="J109" i="5"/>
  <c r="K109" i="5"/>
  <c r="C110" i="5"/>
  <c r="D110" i="5"/>
  <c r="E110" i="5"/>
  <c r="H110" i="5"/>
  <c r="J110" i="5"/>
  <c r="K110" i="5"/>
  <c r="C111" i="5"/>
  <c r="D111" i="5"/>
  <c r="E111" i="5"/>
  <c r="F111" i="5"/>
  <c r="G111" i="5"/>
  <c r="H111" i="5"/>
  <c r="I111" i="5"/>
  <c r="J111" i="5"/>
  <c r="K111" i="5"/>
  <c r="C112" i="5"/>
  <c r="D112" i="5"/>
  <c r="E112" i="5"/>
  <c r="H112" i="5"/>
  <c r="J112" i="5"/>
  <c r="K112" i="5"/>
  <c r="C113" i="5"/>
  <c r="D113" i="5"/>
  <c r="E113" i="5"/>
  <c r="H113" i="5"/>
  <c r="J113" i="5"/>
  <c r="K113" i="5"/>
  <c r="B114" i="5"/>
  <c r="E114" i="5"/>
  <c r="F114" i="5"/>
  <c r="G114" i="5"/>
  <c r="H114" i="5"/>
  <c r="I114" i="5"/>
  <c r="J114" i="5"/>
  <c r="K114" i="5"/>
  <c r="C115" i="5"/>
  <c r="D115" i="5"/>
  <c r="E115" i="5"/>
  <c r="H115" i="5"/>
  <c r="J115" i="5"/>
  <c r="K115" i="5"/>
  <c r="B116" i="5"/>
  <c r="C116" i="5"/>
  <c r="D116" i="5"/>
  <c r="E116" i="5"/>
  <c r="F116" i="5"/>
  <c r="G116" i="5"/>
  <c r="H116" i="5"/>
  <c r="I116" i="5"/>
  <c r="J116" i="5"/>
  <c r="K116" i="5"/>
  <c r="C117" i="5"/>
  <c r="D117" i="5"/>
  <c r="E117" i="5"/>
  <c r="H117" i="5"/>
  <c r="J117" i="5"/>
  <c r="K117" i="5"/>
  <c r="B118" i="5"/>
  <c r="C118" i="5"/>
  <c r="D118" i="5"/>
  <c r="E118" i="5"/>
  <c r="F118" i="5"/>
  <c r="G118" i="5"/>
  <c r="H118" i="5"/>
  <c r="I118" i="5"/>
  <c r="J118" i="5"/>
  <c r="K118" i="5"/>
  <c r="C119" i="5"/>
  <c r="D119" i="5"/>
  <c r="E119" i="5"/>
  <c r="H119" i="5"/>
  <c r="J119" i="5"/>
  <c r="K119" i="5"/>
  <c r="B120" i="5"/>
  <c r="C120" i="5"/>
  <c r="D120" i="5"/>
  <c r="E120" i="5"/>
  <c r="F120" i="5"/>
  <c r="G120" i="5"/>
  <c r="H120" i="5"/>
  <c r="I120" i="5"/>
  <c r="J120" i="5"/>
  <c r="K120" i="5"/>
  <c r="B121" i="5"/>
  <c r="C121" i="5"/>
  <c r="D121" i="5"/>
  <c r="E121" i="5"/>
  <c r="F121" i="5"/>
  <c r="G121" i="5"/>
  <c r="H121" i="5"/>
  <c r="I121" i="5"/>
  <c r="J121" i="5"/>
  <c r="K121" i="5"/>
  <c r="C122" i="5"/>
  <c r="D122" i="5"/>
  <c r="E122" i="5"/>
  <c r="F122" i="5"/>
  <c r="G122" i="5"/>
  <c r="H122" i="5"/>
  <c r="I122" i="5"/>
  <c r="J122" i="5"/>
  <c r="K122" i="5"/>
  <c r="C123" i="5"/>
  <c r="D123" i="5"/>
  <c r="E123" i="5"/>
  <c r="H123" i="5"/>
  <c r="J123" i="5"/>
  <c r="K123" i="5"/>
  <c r="C124" i="5"/>
  <c r="D124" i="5"/>
  <c r="E124" i="5"/>
  <c r="H124" i="5"/>
  <c r="J124" i="5"/>
  <c r="K124" i="5"/>
  <c r="C125" i="5"/>
  <c r="D125" i="5"/>
  <c r="E125" i="5"/>
  <c r="H125" i="5"/>
  <c r="J125" i="5"/>
  <c r="K125" i="5"/>
  <c r="C126" i="5"/>
  <c r="D126" i="5"/>
  <c r="E126" i="5"/>
  <c r="H126" i="5"/>
  <c r="J126" i="5"/>
  <c r="K126" i="5"/>
  <c r="C127" i="5"/>
  <c r="D127" i="5"/>
  <c r="E127" i="5"/>
  <c r="H127" i="5"/>
  <c r="J127" i="5"/>
  <c r="K127" i="5"/>
  <c r="B128" i="5"/>
  <c r="C128" i="5"/>
  <c r="D128" i="5"/>
  <c r="E128" i="5"/>
  <c r="F128" i="5"/>
  <c r="G128" i="5"/>
  <c r="H128" i="5"/>
  <c r="I128" i="5"/>
  <c r="J128" i="5"/>
  <c r="K128" i="5"/>
  <c r="B129" i="5"/>
  <c r="C129" i="5"/>
  <c r="D129" i="5"/>
  <c r="E129" i="5"/>
  <c r="F129" i="5"/>
  <c r="G129" i="5"/>
  <c r="H129" i="5"/>
  <c r="I129" i="5"/>
  <c r="J129" i="5"/>
  <c r="K129" i="5"/>
  <c r="B130" i="5"/>
  <c r="C130" i="5"/>
  <c r="D130" i="5"/>
  <c r="E130" i="5"/>
  <c r="F130" i="5"/>
  <c r="G130" i="5"/>
  <c r="H130" i="5"/>
  <c r="I130" i="5"/>
  <c r="J130" i="5"/>
  <c r="K130" i="5"/>
  <c r="B136" i="5"/>
  <c r="C136" i="5"/>
  <c r="D136" i="5"/>
  <c r="E136" i="5"/>
  <c r="F136" i="5"/>
  <c r="G136" i="5"/>
  <c r="H136" i="5"/>
  <c r="I136" i="5"/>
  <c r="J136" i="5"/>
  <c r="K136" i="5"/>
  <c r="B137" i="5"/>
  <c r="C137" i="5"/>
  <c r="D137" i="5"/>
  <c r="E137" i="5"/>
  <c r="F137" i="5"/>
  <c r="H137" i="5"/>
  <c r="J137" i="5"/>
  <c r="K137" i="5"/>
  <c r="B138" i="5"/>
  <c r="C138" i="5"/>
  <c r="D138" i="5"/>
  <c r="E138" i="5"/>
  <c r="F138" i="5"/>
  <c r="G138" i="5"/>
  <c r="H138" i="5"/>
  <c r="I138" i="5"/>
  <c r="J138" i="5"/>
  <c r="K138" i="5"/>
  <c r="B139" i="5"/>
  <c r="C139" i="5"/>
  <c r="G139" i="5"/>
  <c r="H139" i="5"/>
  <c r="I139" i="5"/>
  <c r="J139" i="5"/>
  <c r="K139" i="5"/>
  <c r="B140" i="5"/>
  <c r="C140" i="5"/>
  <c r="G140" i="5"/>
  <c r="H140" i="5"/>
  <c r="I140" i="5"/>
  <c r="J140" i="5"/>
  <c r="K140" i="5"/>
  <c r="B141" i="5"/>
  <c r="C141" i="5"/>
  <c r="G141" i="5"/>
  <c r="H141" i="5"/>
  <c r="I141" i="5"/>
  <c r="J141" i="5"/>
  <c r="K141" i="5"/>
  <c r="B143" i="5"/>
  <c r="G2" i="6"/>
  <c r="E101" i="6" s="1"/>
  <c r="G4" i="6"/>
  <c r="E103" i="6" s="1"/>
  <c r="E8" i="6"/>
  <c r="E107" i="6" s="1"/>
  <c r="G8" i="6"/>
  <c r="G107" i="6" s="1"/>
  <c r="N8" i="6"/>
  <c r="N107" i="6" s="1"/>
  <c r="P8" i="6"/>
  <c r="P107" i="6" s="1"/>
  <c r="N15" i="6"/>
  <c r="P15" i="6"/>
  <c r="I9" i="28" s="1"/>
  <c r="R15" i="6"/>
  <c r="R114" i="6" s="1"/>
  <c r="E18" i="6"/>
  <c r="E117" i="6" s="1"/>
  <c r="G18" i="6"/>
  <c r="G117" i="6" s="1"/>
  <c r="I18" i="6"/>
  <c r="I117" i="6" s="1"/>
  <c r="E30" i="6"/>
  <c r="G30" i="6"/>
  <c r="F10" i="28" s="1"/>
  <c r="F206" i="28" s="1"/>
  <c r="I30" i="6"/>
  <c r="I129" i="6" s="1"/>
  <c r="N30" i="6"/>
  <c r="H10" i="28" s="1"/>
  <c r="H206" i="28" s="1"/>
  <c r="P30" i="6"/>
  <c r="R30" i="6"/>
  <c r="R129" i="6" s="1"/>
  <c r="E40" i="6"/>
  <c r="G40" i="6"/>
  <c r="G139" i="6" s="1"/>
  <c r="I40" i="6"/>
  <c r="I139" i="6" s="1"/>
  <c r="N40" i="6"/>
  <c r="H11" i="28" s="1"/>
  <c r="H207" i="28" s="1"/>
  <c r="P40" i="6"/>
  <c r="R40" i="6"/>
  <c r="R139" i="6" s="1"/>
  <c r="E51" i="6"/>
  <c r="G51" i="6"/>
  <c r="G150" i="6" s="1"/>
  <c r="I51" i="6"/>
  <c r="I150" i="6" s="1"/>
  <c r="A101" i="6"/>
  <c r="B101" i="6"/>
  <c r="C101" i="6"/>
  <c r="D101" i="6"/>
  <c r="O101" i="6"/>
  <c r="P101" i="6"/>
  <c r="Q101" i="6"/>
  <c r="R101" i="6"/>
  <c r="A102" i="6"/>
  <c r="B102" i="6"/>
  <c r="A103" i="6"/>
  <c r="B103" i="6"/>
  <c r="C103" i="6"/>
  <c r="D103" i="6"/>
  <c r="O103" i="6"/>
  <c r="P103" i="6"/>
  <c r="Q103" i="6"/>
  <c r="R103" i="6"/>
  <c r="C104" i="6"/>
  <c r="D104" i="6"/>
  <c r="E104" i="6"/>
  <c r="F104" i="6"/>
  <c r="G104" i="6"/>
  <c r="M104" i="6"/>
  <c r="N104" i="6"/>
  <c r="O104" i="6"/>
  <c r="P104" i="6"/>
  <c r="Q104" i="6"/>
  <c r="R104" i="6"/>
  <c r="A105" i="6"/>
  <c r="E105" i="6"/>
  <c r="J105" i="6"/>
  <c r="K105" i="6"/>
  <c r="N105" i="6"/>
  <c r="S105" i="6"/>
  <c r="A106" i="6"/>
  <c r="B106" i="6"/>
  <c r="D106" i="6"/>
  <c r="E106" i="6"/>
  <c r="F106" i="6"/>
  <c r="G106" i="6"/>
  <c r="H106" i="6"/>
  <c r="I106" i="6"/>
  <c r="J106" i="6"/>
  <c r="L106" i="6"/>
  <c r="M106" i="6"/>
  <c r="N106" i="6"/>
  <c r="O106" i="6"/>
  <c r="P106" i="6"/>
  <c r="Q106" i="6"/>
  <c r="R106" i="6"/>
  <c r="S106" i="6"/>
  <c r="A107" i="6"/>
  <c r="F107" i="6"/>
  <c r="H107" i="6"/>
  <c r="J107" i="6"/>
  <c r="O107" i="6"/>
  <c r="Q107" i="6"/>
  <c r="S107" i="6"/>
  <c r="A108" i="6"/>
  <c r="B108" i="6"/>
  <c r="D108" i="6"/>
  <c r="E108" i="6"/>
  <c r="F108" i="6"/>
  <c r="G108" i="6"/>
  <c r="H108" i="6"/>
  <c r="I108" i="6"/>
  <c r="J108" i="6"/>
  <c r="K108" i="6"/>
  <c r="L108" i="6"/>
  <c r="M108" i="6"/>
  <c r="N108" i="6"/>
  <c r="O108" i="6"/>
  <c r="P108" i="6"/>
  <c r="Q108" i="6"/>
  <c r="R108" i="6"/>
  <c r="S108" i="6"/>
  <c r="D109" i="6"/>
  <c r="E109" i="6"/>
  <c r="F109" i="6"/>
  <c r="G109" i="6"/>
  <c r="H109" i="6"/>
  <c r="I109" i="6"/>
  <c r="J109" i="6"/>
  <c r="M109" i="6"/>
  <c r="N109" i="6"/>
  <c r="O109" i="6"/>
  <c r="P109" i="6"/>
  <c r="Q109" i="6"/>
  <c r="R109" i="6"/>
  <c r="S109" i="6"/>
  <c r="A110" i="6"/>
  <c r="B110" i="6"/>
  <c r="D110" i="6"/>
  <c r="E110" i="6"/>
  <c r="F110" i="6"/>
  <c r="G110" i="6"/>
  <c r="H110" i="6"/>
  <c r="I110" i="6"/>
  <c r="J110" i="6"/>
  <c r="K110" i="6"/>
  <c r="L110" i="6"/>
  <c r="M110" i="6"/>
  <c r="N110" i="6"/>
  <c r="O110" i="6"/>
  <c r="P110" i="6"/>
  <c r="Q110" i="6"/>
  <c r="R110" i="6"/>
  <c r="S110" i="6"/>
  <c r="A111" i="6"/>
  <c r="B111" i="6"/>
  <c r="D111" i="6"/>
  <c r="E111" i="6"/>
  <c r="F111" i="6"/>
  <c r="G111" i="6"/>
  <c r="H111" i="6"/>
  <c r="I111" i="6"/>
  <c r="J111" i="6"/>
  <c r="K111" i="6"/>
  <c r="L111" i="6"/>
  <c r="M111" i="6"/>
  <c r="N111" i="6"/>
  <c r="O111" i="6"/>
  <c r="P111" i="6"/>
  <c r="Q111" i="6"/>
  <c r="R111" i="6"/>
  <c r="S111" i="6"/>
  <c r="A112" i="6"/>
  <c r="B112" i="6"/>
  <c r="D112" i="6"/>
  <c r="E112" i="6"/>
  <c r="F112" i="6"/>
  <c r="G112" i="6"/>
  <c r="H112" i="6"/>
  <c r="I112" i="6"/>
  <c r="J112" i="6"/>
  <c r="K112" i="6"/>
  <c r="L112" i="6"/>
  <c r="M112" i="6"/>
  <c r="N112" i="6"/>
  <c r="O112" i="6"/>
  <c r="P112" i="6"/>
  <c r="Q112" i="6"/>
  <c r="R112" i="6"/>
  <c r="S112" i="6"/>
  <c r="A113" i="6"/>
  <c r="B113" i="6"/>
  <c r="D113" i="6"/>
  <c r="E113" i="6"/>
  <c r="F113" i="6"/>
  <c r="G113" i="6"/>
  <c r="H113" i="6"/>
  <c r="I113" i="6"/>
  <c r="J113" i="6"/>
  <c r="K113" i="6"/>
  <c r="L113" i="6"/>
  <c r="M113" i="6"/>
  <c r="N113" i="6"/>
  <c r="O113" i="6"/>
  <c r="P113" i="6"/>
  <c r="Q113" i="6"/>
  <c r="R113" i="6"/>
  <c r="S113" i="6"/>
  <c r="A114" i="6"/>
  <c r="B114" i="6"/>
  <c r="D114" i="6"/>
  <c r="E114" i="6"/>
  <c r="F114" i="6"/>
  <c r="G114" i="6"/>
  <c r="H114" i="6"/>
  <c r="I114" i="6"/>
  <c r="J114" i="6"/>
  <c r="K114" i="6"/>
  <c r="L114" i="6"/>
  <c r="M114" i="6"/>
  <c r="O114" i="6"/>
  <c r="P114" i="6"/>
  <c r="Q114" i="6"/>
  <c r="S114" i="6"/>
  <c r="A115" i="6"/>
  <c r="B115" i="6"/>
  <c r="D115" i="6"/>
  <c r="E115" i="6"/>
  <c r="F115" i="6"/>
  <c r="G115" i="6"/>
  <c r="H115" i="6"/>
  <c r="I115" i="6"/>
  <c r="J115" i="6"/>
  <c r="K115" i="6"/>
  <c r="L115" i="6"/>
  <c r="M115" i="6"/>
  <c r="N115" i="6"/>
  <c r="O115" i="6"/>
  <c r="P115" i="6"/>
  <c r="Q115" i="6"/>
  <c r="R115" i="6"/>
  <c r="S115" i="6"/>
  <c r="A116" i="6"/>
  <c r="B116" i="6"/>
  <c r="D116" i="6"/>
  <c r="E116" i="6"/>
  <c r="F116" i="6"/>
  <c r="G116" i="6"/>
  <c r="H116" i="6"/>
  <c r="I116" i="6"/>
  <c r="J116" i="6"/>
  <c r="K116" i="6"/>
  <c r="L116" i="6"/>
  <c r="M116" i="6"/>
  <c r="N116" i="6"/>
  <c r="O116" i="6"/>
  <c r="P116" i="6"/>
  <c r="Q116" i="6"/>
  <c r="R116" i="6"/>
  <c r="S116" i="6"/>
  <c r="A117" i="6"/>
  <c r="B117" i="6"/>
  <c r="D117" i="6"/>
  <c r="F117" i="6"/>
  <c r="H117" i="6"/>
  <c r="J117" i="6"/>
  <c r="K117" i="6"/>
  <c r="L117" i="6"/>
  <c r="M117" i="6"/>
  <c r="N117" i="6"/>
  <c r="O117" i="6"/>
  <c r="P117" i="6"/>
  <c r="Q117" i="6"/>
  <c r="R117" i="6"/>
  <c r="S117" i="6"/>
  <c r="A118" i="6"/>
  <c r="B118" i="6"/>
  <c r="D118" i="6"/>
  <c r="E118" i="6"/>
  <c r="F118" i="6"/>
  <c r="G118" i="6"/>
  <c r="H118" i="6"/>
  <c r="I118" i="6"/>
  <c r="J118" i="6"/>
  <c r="K118" i="6"/>
  <c r="L118" i="6"/>
  <c r="M118" i="6"/>
  <c r="N118" i="6"/>
  <c r="O118" i="6"/>
  <c r="P118" i="6"/>
  <c r="Q118" i="6"/>
  <c r="R118" i="6"/>
  <c r="S118" i="6"/>
  <c r="D119" i="6"/>
  <c r="E119" i="6"/>
  <c r="F119" i="6"/>
  <c r="G119" i="6"/>
  <c r="H119" i="6"/>
  <c r="I119" i="6"/>
  <c r="J119" i="6"/>
  <c r="M119" i="6"/>
  <c r="N119" i="6"/>
  <c r="O119" i="6"/>
  <c r="P119" i="6"/>
  <c r="Q119" i="6"/>
  <c r="R119" i="6"/>
  <c r="S119" i="6"/>
  <c r="A120" i="6"/>
  <c r="B120" i="6"/>
  <c r="D120" i="6"/>
  <c r="E120" i="6"/>
  <c r="F120" i="6"/>
  <c r="G120" i="6"/>
  <c r="H120" i="6"/>
  <c r="I120" i="6"/>
  <c r="J120" i="6"/>
  <c r="K120" i="6"/>
  <c r="L120" i="6"/>
  <c r="M120" i="6"/>
  <c r="N120" i="6"/>
  <c r="O120" i="6"/>
  <c r="P120" i="6"/>
  <c r="Q120" i="6"/>
  <c r="R120" i="6"/>
  <c r="S120" i="6"/>
  <c r="A121" i="6"/>
  <c r="B121" i="6"/>
  <c r="D121" i="6"/>
  <c r="E121" i="6"/>
  <c r="F121" i="6"/>
  <c r="G121" i="6"/>
  <c r="H121" i="6"/>
  <c r="I121" i="6"/>
  <c r="J121" i="6"/>
  <c r="K121" i="6"/>
  <c r="L121" i="6"/>
  <c r="M121" i="6"/>
  <c r="N121" i="6"/>
  <c r="O121" i="6"/>
  <c r="P121" i="6"/>
  <c r="Q121" i="6"/>
  <c r="R121" i="6"/>
  <c r="S121" i="6"/>
  <c r="A122" i="6"/>
  <c r="B122" i="6"/>
  <c r="D122" i="6"/>
  <c r="E122" i="6"/>
  <c r="F122" i="6"/>
  <c r="G122" i="6"/>
  <c r="H122" i="6"/>
  <c r="I122" i="6"/>
  <c r="J122" i="6"/>
  <c r="K122" i="6"/>
  <c r="L122" i="6"/>
  <c r="M122" i="6"/>
  <c r="N122" i="6"/>
  <c r="O122" i="6"/>
  <c r="P122" i="6"/>
  <c r="Q122" i="6"/>
  <c r="R122" i="6"/>
  <c r="S122" i="6"/>
  <c r="A123" i="6"/>
  <c r="B123" i="6"/>
  <c r="D123" i="6"/>
  <c r="E123" i="6"/>
  <c r="F123" i="6"/>
  <c r="G123" i="6"/>
  <c r="H123" i="6"/>
  <c r="I123" i="6"/>
  <c r="J123" i="6"/>
  <c r="K123" i="6"/>
  <c r="L123" i="6"/>
  <c r="M123" i="6"/>
  <c r="N123" i="6"/>
  <c r="O123" i="6"/>
  <c r="P123" i="6"/>
  <c r="Q123" i="6"/>
  <c r="R123" i="6"/>
  <c r="S123" i="6"/>
  <c r="A124" i="6"/>
  <c r="B124" i="6"/>
  <c r="D124" i="6"/>
  <c r="E124" i="6"/>
  <c r="F124" i="6"/>
  <c r="G124" i="6"/>
  <c r="H124" i="6"/>
  <c r="I124" i="6"/>
  <c r="J124" i="6"/>
  <c r="K124" i="6"/>
  <c r="L124" i="6"/>
  <c r="M124" i="6"/>
  <c r="N124" i="6"/>
  <c r="O124" i="6"/>
  <c r="P124" i="6"/>
  <c r="Q124" i="6"/>
  <c r="R124" i="6"/>
  <c r="S124" i="6"/>
  <c r="A125" i="6"/>
  <c r="B125" i="6"/>
  <c r="D125" i="6"/>
  <c r="E125" i="6"/>
  <c r="F125" i="6"/>
  <c r="G125" i="6"/>
  <c r="H125" i="6"/>
  <c r="I125" i="6"/>
  <c r="J125" i="6"/>
  <c r="K125" i="6"/>
  <c r="L125" i="6"/>
  <c r="M125" i="6"/>
  <c r="N125" i="6"/>
  <c r="O125" i="6"/>
  <c r="P125" i="6"/>
  <c r="Q125" i="6"/>
  <c r="R125" i="6"/>
  <c r="S125" i="6"/>
  <c r="A126" i="6"/>
  <c r="B126" i="6"/>
  <c r="D126" i="6"/>
  <c r="E126" i="6"/>
  <c r="F126" i="6"/>
  <c r="G126" i="6"/>
  <c r="H126" i="6"/>
  <c r="I126" i="6"/>
  <c r="J126" i="6"/>
  <c r="K126" i="6"/>
  <c r="L126" i="6"/>
  <c r="M126" i="6"/>
  <c r="N126" i="6"/>
  <c r="O126" i="6"/>
  <c r="P126" i="6"/>
  <c r="Q126" i="6"/>
  <c r="R126" i="6"/>
  <c r="S126" i="6"/>
  <c r="A127" i="6"/>
  <c r="B127" i="6"/>
  <c r="D127" i="6"/>
  <c r="E127" i="6"/>
  <c r="F127" i="6"/>
  <c r="G127" i="6"/>
  <c r="H127" i="6"/>
  <c r="I127" i="6"/>
  <c r="J127" i="6"/>
  <c r="K127" i="6"/>
  <c r="L127" i="6"/>
  <c r="M127" i="6"/>
  <c r="N127" i="6"/>
  <c r="O127" i="6"/>
  <c r="P127" i="6"/>
  <c r="Q127" i="6"/>
  <c r="R127" i="6"/>
  <c r="S127" i="6"/>
  <c r="A128" i="6"/>
  <c r="B128" i="6"/>
  <c r="D128" i="6"/>
  <c r="E128" i="6"/>
  <c r="F128" i="6"/>
  <c r="G128" i="6"/>
  <c r="H128" i="6"/>
  <c r="I128" i="6"/>
  <c r="J128" i="6"/>
  <c r="K128" i="6"/>
  <c r="L128" i="6"/>
  <c r="M128" i="6"/>
  <c r="N128" i="6"/>
  <c r="O128" i="6"/>
  <c r="P128" i="6"/>
  <c r="Q128" i="6"/>
  <c r="R128" i="6"/>
  <c r="S128" i="6"/>
  <c r="A129" i="6"/>
  <c r="B129" i="6"/>
  <c r="D129" i="6"/>
  <c r="F129" i="6"/>
  <c r="H129" i="6"/>
  <c r="J129" i="6"/>
  <c r="K129" i="6"/>
  <c r="L129" i="6"/>
  <c r="M129" i="6"/>
  <c r="O129" i="6"/>
  <c r="Q129" i="6"/>
  <c r="S129" i="6"/>
  <c r="A130" i="6"/>
  <c r="B130" i="6"/>
  <c r="D130" i="6"/>
  <c r="E130" i="6"/>
  <c r="F130" i="6"/>
  <c r="G130" i="6"/>
  <c r="H130" i="6"/>
  <c r="I130" i="6"/>
  <c r="J130" i="6"/>
  <c r="K130" i="6"/>
  <c r="L130" i="6"/>
  <c r="M130" i="6"/>
  <c r="N130" i="6"/>
  <c r="O130" i="6"/>
  <c r="P130" i="6"/>
  <c r="Q130" i="6"/>
  <c r="R130" i="6"/>
  <c r="S130" i="6"/>
  <c r="D131" i="6"/>
  <c r="E131" i="6"/>
  <c r="F131" i="6"/>
  <c r="G131" i="6"/>
  <c r="H131" i="6"/>
  <c r="I131" i="6"/>
  <c r="J131" i="6"/>
  <c r="M131" i="6"/>
  <c r="N131" i="6"/>
  <c r="O131" i="6"/>
  <c r="P131" i="6"/>
  <c r="Q131" i="6"/>
  <c r="R131" i="6"/>
  <c r="S131" i="6"/>
  <c r="A132" i="6"/>
  <c r="B132" i="6"/>
  <c r="D132" i="6"/>
  <c r="E132" i="6"/>
  <c r="F132" i="6"/>
  <c r="G132" i="6"/>
  <c r="H132" i="6"/>
  <c r="I132" i="6"/>
  <c r="J132" i="6"/>
  <c r="K132" i="6"/>
  <c r="L132" i="6"/>
  <c r="M132" i="6"/>
  <c r="N132" i="6"/>
  <c r="O132" i="6"/>
  <c r="P132" i="6"/>
  <c r="Q132" i="6"/>
  <c r="R132" i="6"/>
  <c r="S132" i="6"/>
  <c r="A133" i="6"/>
  <c r="B133" i="6"/>
  <c r="D133" i="6"/>
  <c r="E133" i="6"/>
  <c r="F133" i="6"/>
  <c r="G133" i="6"/>
  <c r="H133" i="6"/>
  <c r="I133" i="6"/>
  <c r="J133" i="6"/>
  <c r="K133" i="6"/>
  <c r="L133" i="6"/>
  <c r="M133" i="6"/>
  <c r="N133" i="6"/>
  <c r="O133" i="6"/>
  <c r="P133" i="6"/>
  <c r="Q133" i="6"/>
  <c r="R133" i="6"/>
  <c r="S133" i="6"/>
  <c r="A134" i="6"/>
  <c r="B134" i="6"/>
  <c r="D134" i="6"/>
  <c r="E134" i="6"/>
  <c r="F134" i="6"/>
  <c r="G134" i="6"/>
  <c r="H134" i="6"/>
  <c r="I134" i="6"/>
  <c r="J134" i="6"/>
  <c r="K134" i="6"/>
  <c r="L134" i="6"/>
  <c r="M134" i="6"/>
  <c r="N134" i="6"/>
  <c r="O134" i="6"/>
  <c r="P134" i="6"/>
  <c r="Q134" i="6"/>
  <c r="R134" i="6"/>
  <c r="S134" i="6"/>
  <c r="A135" i="6"/>
  <c r="B135" i="6"/>
  <c r="D135" i="6"/>
  <c r="E135" i="6"/>
  <c r="F135" i="6"/>
  <c r="G135" i="6"/>
  <c r="H135" i="6"/>
  <c r="I135" i="6"/>
  <c r="J135" i="6"/>
  <c r="K135" i="6"/>
  <c r="L135" i="6"/>
  <c r="M135" i="6"/>
  <c r="N135" i="6"/>
  <c r="O135" i="6"/>
  <c r="P135" i="6"/>
  <c r="Q135" i="6"/>
  <c r="R135" i="6"/>
  <c r="S135" i="6"/>
  <c r="A136" i="6"/>
  <c r="B136" i="6"/>
  <c r="D136" i="6"/>
  <c r="E136" i="6"/>
  <c r="F136" i="6"/>
  <c r="G136" i="6"/>
  <c r="H136" i="6"/>
  <c r="I136" i="6"/>
  <c r="J136" i="6"/>
  <c r="K136" i="6"/>
  <c r="L136" i="6"/>
  <c r="M136" i="6"/>
  <c r="N136" i="6"/>
  <c r="O136" i="6"/>
  <c r="P136" i="6"/>
  <c r="Q136" i="6"/>
  <c r="R136" i="6"/>
  <c r="S136" i="6"/>
  <c r="A137" i="6"/>
  <c r="B137" i="6"/>
  <c r="D137" i="6"/>
  <c r="E137" i="6"/>
  <c r="F137" i="6"/>
  <c r="G137" i="6"/>
  <c r="H137" i="6"/>
  <c r="I137" i="6"/>
  <c r="J137" i="6"/>
  <c r="K137" i="6"/>
  <c r="L137" i="6"/>
  <c r="M137" i="6"/>
  <c r="N137" i="6"/>
  <c r="O137" i="6"/>
  <c r="P137" i="6"/>
  <c r="Q137" i="6"/>
  <c r="R137" i="6"/>
  <c r="S137" i="6"/>
  <c r="A138" i="6"/>
  <c r="B138" i="6"/>
  <c r="D138" i="6"/>
  <c r="E138" i="6"/>
  <c r="F138" i="6"/>
  <c r="G138" i="6"/>
  <c r="H138" i="6"/>
  <c r="I138" i="6"/>
  <c r="J138" i="6"/>
  <c r="K138" i="6"/>
  <c r="L138" i="6"/>
  <c r="M138" i="6"/>
  <c r="N138" i="6"/>
  <c r="O138" i="6"/>
  <c r="P138" i="6"/>
  <c r="Q138" i="6"/>
  <c r="R138" i="6"/>
  <c r="S138" i="6"/>
  <c r="A139" i="6"/>
  <c r="B139" i="6"/>
  <c r="D139" i="6"/>
  <c r="F139" i="6"/>
  <c r="H139" i="6"/>
  <c r="J139" i="6"/>
  <c r="K139" i="6"/>
  <c r="L139" i="6"/>
  <c r="M139" i="6"/>
  <c r="O139" i="6"/>
  <c r="Q139" i="6"/>
  <c r="S139" i="6"/>
  <c r="A140" i="6"/>
  <c r="B140" i="6"/>
  <c r="D140" i="6"/>
  <c r="E140" i="6"/>
  <c r="F140" i="6"/>
  <c r="G140" i="6"/>
  <c r="H140" i="6"/>
  <c r="I140" i="6"/>
  <c r="J140" i="6"/>
  <c r="K140" i="6"/>
  <c r="L140" i="6"/>
  <c r="M140" i="6"/>
  <c r="N140" i="6"/>
  <c r="O140" i="6"/>
  <c r="P140" i="6"/>
  <c r="Q140" i="6"/>
  <c r="R140" i="6"/>
  <c r="S140" i="6"/>
  <c r="D141" i="6"/>
  <c r="E141" i="6"/>
  <c r="F141" i="6"/>
  <c r="G141" i="6"/>
  <c r="H141" i="6"/>
  <c r="I141" i="6"/>
  <c r="J141" i="6"/>
  <c r="M141" i="6"/>
  <c r="N141" i="6"/>
  <c r="O141" i="6"/>
  <c r="P141" i="6"/>
  <c r="Q141" i="6"/>
  <c r="R141" i="6"/>
  <c r="S141" i="6"/>
  <c r="A142" i="6"/>
  <c r="B142" i="6"/>
  <c r="D142" i="6"/>
  <c r="E142" i="6"/>
  <c r="F142" i="6"/>
  <c r="G142" i="6"/>
  <c r="H142" i="6"/>
  <c r="I142" i="6"/>
  <c r="J142" i="6"/>
  <c r="K142" i="6"/>
  <c r="O142" i="6"/>
  <c r="Q142" i="6"/>
  <c r="S142" i="6"/>
  <c r="A143" i="6"/>
  <c r="B143" i="6"/>
  <c r="D143" i="6"/>
  <c r="E143" i="6"/>
  <c r="F143" i="6"/>
  <c r="G143" i="6"/>
  <c r="H143" i="6"/>
  <c r="I143" i="6"/>
  <c r="J143" i="6"/>
  <c r="K143" i="6"/>
  <c r="L143" i="6"/>
  <c r="M143" i="6"/>
  <c r="N143" i="6"/>
  <c r="O143" i="6"/>
  <c r="P143" i="6"/>
  <c r="Q143" i="6"/>
  <c r="R143" i="6"/>
  <c r="S143" i="6"/>
  <c r="A144" i="6"/>
  <c r="B144" i="6"/>
  <c r="D144" i="6"/>
  <c r="E144" i="6"/>
  <c r="F144" i="6"/>
  <c r="G144" i="6"/>
  <c r="H144" i="6"/>
  <c r="I144" i="6"/>
  <c r="J144" i="6"/>
  <c r="K144" i="6"/>
  <c r="L144" i="6"/>
  <c r="M144" i="6"/>
  <c r="N144" i="6"/>
  <c r="O144" i="6"/>
  <c r="P144" i="6"/>
  <c r="Q144" i="6"/>
  <c r="R144" i="6"/>
  <c r="S144" i="6"/>
  <c r="A145" i="6"/>
  <c r="B145" i="6"/>
  <c r="D145" i="6"/>
  <c r="E145" i="6"/>
  <c r="F145" i="6"/>
  <c r="G145" i="6"/>
  <c r="H145" i="6"/>
  <c r="I145" i="6"/>
  <c r="J145" i="6"/>
  <c r="K145" i="6"/>
  <c r="L145" i="6"/>
  <c r="M145" i="6"/>
  <c r="N145" i="6"/>
  <c r="O145" i="6"/>
  <c r="P145" i="6"/>
  <c r="Q145" i="6"/>
  <c r="R145" i="6"/>
  <c r="S145" i="6"/>
  <c r="A146" i="6"/>
  <c r="B146" i="6"/>
  <c r="D146" i="6"/>
  <c r="E146" i="6"/>
  <c r="F146" i="6"/>
  <c r="G146" i="6"/>
  <c r="H146" i="6"/>
  <c r="I146" i="6"/>
  <c r="J146" i="6"/>
  <c r="K146" i="6"/>
  <c r="L146" i="6"/>
  <c r="M146" i="6"/>
  <c r="N146" i="6"/>
  <c r="O146" i="6"/>
  <c r="P146" i="6"/>
  <c r="Q146" i="6"/>
  <c r="R146" i="6"/>
  <c r="S146" i="6"/>
  <c r="A147" i="6"/>
  <c r="B147" i="6"/>
  <c r="D147" i="6"/>
  <c r="E147" i="6"/>
  <c r="F147" i="6"/>
  <c r="G147" i="6"/>
  <c r="H147" i="6"/>
  <c r="I147" i="6"/>
  <c r="J147" i="6"/>
  <c r="K147" i="6"/>
  <c r="L147" i="6"/>
  <c r="M147" i="6"/>
  <c r="N147" i="6"/>
  <c r="O147" i="6"/>
  <c r="P147" i="6"/>
  <c r="Q147" i="6"/>
  <c r="R147" i="6"/>
  <c r="S147" i="6"/>
  <c r="A148" i="6"/>
  <c r="B148" i="6"/>
  <c r="D148" i="6"/>
  <c r="E148" i="6"/>
  <c r="F148" i="6"/>
  <c r="G148" i="6"/>
  <c r="H148" i="6"/>
  <c r="I148" i="6"/>
  <c r="J148" i="6"/>
  <c r="K148" i="6"/>
  <c r="L148" i="6"/>
  <c r="M148" i="6"/>
  <c r="N148" i="6"/>
  <c r="O148" i="6"/>
  <c r="P148" i="6"/>
  <c r="Q148" i="6"/>
  <c r="R148" i="6"/>
  <c r="S148" i="6"/>
  <c r="A149" i="6"/>
  <c r="B149" i="6"/>
  <c r="D149" i="6"/>
  <c r="E149" i="6"/>
  <c r="F149" i="6"/>
  <c r="G149" i="6"/>
  <c r="H149" i="6"/>
  <c r="I149" i="6"/>
  <c r="J149" i="6"/>
  <c r="K149" i="6"/>
  <c r="L149" i="6"/>
  <c r="M149" i="6"/>
  <c r="N149" i="6"/>
  <c r="O149" i="6"/>
  <c r="P149" i="6"/>
  <c r="Q149" i="6"/>
  <c r="R149" i="6"/>
  <c r="S149" i="6"/>
  <c r="A150" i="6"/>
  <c r="B150" i="6"/>
  <c r="D150" i="6"/>
  <c r="F150" i="6"/>
  <c r="H150" i="6"/>
  <c r="J150" i="6"/>
  <c r="K150" i="6"/>
  <c r="L150" i="6"/>
  <c r="M150" i="6"/>
  <c r="O150" i="6"/>
  <c r="Q150" i="6"/>
  <c r="S150" i="6"/>
  <c r="A151" i="6"/>
  <c r="B151" i="6"/>
  <c r="D151" i="6"/>
  <c r="E151" i="6"/>
  <c r="F151" i="6"/>
  <c r="G151" i="6"/>
  <c r="H151" i="6"/>
  <c r="I151" i="6"/>
  <c r="J151" i="6"/>
  <c r="K151" i="6"/>
  <c r="L151" i="6"/>
  <c r="M151" i="6"/>
  <c r="N151" i="6"/>
  <c r="O151" i="6"/>
  <c r="P151" i="6"/>
  <c r="Q151" i="6"/>
  <c r="R151" i="6"/>
  <c r="S151" i="6"/>
  <c r="F152" i="6"/>
  <c r="H152" i="6"/>
  <c r="J152" i="6"/>
  <c r="O152" i="6"/>
  <c r="Q152" i="6"/>
  <c r="S152" i="6"/>
  <c r="A153" i="6"/>
  <c r="B153" i="6"/>
  <c r="D153" i="6"/>
  <c r="E153" i="6"/>
  <c r="F153" i="6"/>
  <c r="G153" i="6"/>
  <c r="H153" i="6"/>
  <c r="I153" i="6"/>
  <c r="J153" i="6"/>
  <c r="K153" i="6"/>
  <c r="L153" i="6"/>
  <c r="M153" i="6"/>
  <c r="N153" i="6"/>
  <c r="O153" i="6"/>
  <c r="P153" i="6"/>
  <c r="Q153" i="6"/>
  <c r="R153" i="6"/>
  <c r="S153" i="6"/>
  <c r="A154" i="6"/>
  <c r="D154" i="6"/>
  <c r="F154" i="6"/>
  <c r="H154" i="6"/>
  <c r="J154" i="6"/>
  <c r="K154" i="6"/>
  <c r="M154" i="6"/>
  <c r="O154" i="6"/>
  <c r="Q154" i="6"/>
  <c r="S154" i="6"/>
  <c r="B155" i="6"/>
  <c r="E155" i="6"/>
  <c r="G155" i="6"/>
  <c r="I155" i="6"/>
  <c r="L155" i="6"/>
  <c r="N155" i="6"/>
  <c r="P155" i="6"/>
  <c r="R155" i="6"/>
  <c r="A156" i="6"/>
  <c r="B156" i="6"/>
  <c r="D156" i="6"/>
  <c r="F156" i="6"/>
  <c r="H156" i="6"/>
  <c r="J156" i="6"/>
  <c r="K156" i="6"/>
  <c r="M156" i="6"/>
  <c r="O156" i="6"/>
  <c r="Q156" i="6"/>
  <c r="S156" i="6"/>
  <c r="A158" i="6"/>
  <c r="B158" i="6"/>
  <c r="D158" i="6"/>
  <c r="F158" i="6"/>
  <c r="H158" i="6"/>
  <c r="J158" i="6"/>
  <c r="K158" i="6"/>
  <c r="L158" i="6"/>
  <c r="M158" i="6"/>
  <c r="N158" i="6"/>
  <c r="O158" i="6"/>
  <c r="P158" i="6"/>
  <c r="Q158" i="6"/>
  <c r="R158" i="6"/>
  <c r="S158" i="6"/>
  <c r="A159" i="6"/>
  <c r="B159" i="6"/>
  <c r="D159" i="6"/>
  <c r="F159" i="6"/>
  <c r="H159" i="6"/>
  <c r="J159" i="6"/>
  <c r="K159" i="6"/>
  <c r="L159" i="6"/>
  <c r="M159" i="6"/>
  <c r="N159" i="6"/>
  <c r="O159" i="6"/>
  <c r="P159" i="6"/>
  <c r="Q159" i="6"/>
  <c r="R159" i="6"/>
  <c r="S159" i="6"/>
  <c r="A160" i="6"/>
  <c r="D160" i="6"/>
  <c r="F160" i="6"/>
  <c r="H160" i="6"/>
  <c r="J160" i="6"/>
  <c r="K160" i="6"/>
  <c r="L160" i="6"/>
  <c r="M160" i="6"/>
  <c r="N160" i="6"/>
  <c r="O160" i="6"/>
  <c r="P160" i="6"/>
  <c r="Q160" i="6"/>
  <c r="R160" i="6"/>
  <c r="S160" i="6"/>
  <c r="A161" i="6"/>
  <c r="B161" i="6"/>
  <c r="C161" i="6"/>
  <c r="D161" i="6"/>
  <c r="E161" i="6"/>
  <c r="F161" i="6"/>
  <c r="G161" i="6"/>
  <c r="H161" i="6"/>
  <c r="I161" i="6"/>
  <c r="J161" i="6"/>
  <c r="K161" i="6"/>
  <c r="L161" i="6"/>
  <c r="M161" i="6"/>
  <c r="N161" i="6"/>
  <c r="O161" i="6"/>
  <c r="P161" i="6"/>
  <c r="Q161" i="6"/>
  <c r="R161" i="6"/>
  <c r="S161" i="6"/>
  <c r="G2" i="7"/>
  <c r="C98" i="7" s="1"/>
  <c r="G3" i="7"/>
  <c r="C99" i="7" s="1"/>
  <c r="G7" i="7"/>
  <c r="G104" i="7" s="1"/>
  <c r="I34" i="7"/>
  <c r="D43" i="34" s="1"/>
  <c r="D240" i="34" s="1"/>
  <c r="I44" i="7"/>
  <c r="I141" i="7" s="1"/>
  <c r="G47" i="7"/>
  <c r="H72" i="33" s="1"/>
  <c r="C100" i="7"/>
  <c r="B104" i="7"/>
  <c r="C104" i="7"/>
  <c r="F104" i="7"/>
  <c r="H104" i="7"/>
  <c r="J104" i="7"/>
  <c r="B105" i="7"/>
  <c r="C105" i="7"/>
  <c r="F105" i="7"/>
  <c r="G105" i="7"/>
  <c r="H105" i="7"/>
  <c r="I105" i="7"/>
  <c r="J105" i="7"/>
  <c r="B106" i="7"/>
  <c r="C106" i="7"/>
  <c r="D106" i="7"/>
  <c r="F106" i="7"/>
  <c r="G106" i="7"/>
  <c r="H106" i="7"/>
  <c r="I106" i="7"/>
  <c r="J106" i="7"/>
  <c r="B107" i="7"/>
  <c r="C107" i="7"/>
  <c r="D107" i="7"/>
  <c r="F107" i="7"/>
  <c r="H107" i="7"/>
  <c r="J107" i="7"/>
  <c r="B108" i="7"/>
  <c r="C108" i="7"/>
  <c r="D108" i="7"/>
  <c r="E108" i="7"/>
  <c r="F108" i="7"/>
  <c r="G108" i="7"/>
  <c r="H108" i="7"/>
  <c r="I108" i="7"/>
  <c r="J108" i="7"/>
  <c r="B109" i="7"/>
  <c r="C109" i="7"/>
  <c r="D109" i="7"/>
  <c r="E109" i="7"/>
  <c r="F109" i="7"/>
  <c r="G109" i="7"/>
  <c r="H109" i="7"/>
  <c r="I109" i="7"/>
  <c r="J109" i="7"/>
  <c r="B110" i="7"/>
  <c r="C110" i="7"/>
  <c r="D110" i="7"/>
  <c r="F110" i="7"/>
  <c r="H110" i="7"/>
  <c r="J110" i="7"/>
  <c r="B112" i="7"/>
  <c r="C112" i="7"/>
  <c r="D112" i="7"/>
  <c r="F112" i="7"/>
  <c r="H112" i="7"/>
  <c r="J112" i="7"/>
  <c r="B113" i="7"/>
  <c r="C113" i="7"/>
  <c r="D113" i="7"/>
  <c r="E113" i="7"/>
  <c r="F113" i="7"/>
  <c r="G113" i="7"/>
  <c r="H113" i="7"/>
  <c r="I113" i="7"/>
  <c r="J113" i="7"/>
  <c r="B114" i="7"/>
  <c r="C114" i="7"/>
  <c r="D114" i="7"/>
  <c r="E114" i="7"/>
  <c r="F114" i="7"/>
  <c r="G114" i="7"/>
  <c r="H114" i="7"/>
  <c r="I114" i="7"/>
  <c r="J114" i="7"/>
  <c r="B115" i="7"/>
  <c r="C115" i="7"/>
  <c r="D115" i="7"/>
  <c r="F115" i="7"/>
  <c r="H115" i="7"/>
  <c r="J115" i="7"/>
  <c r="B116" i="7"/>
  <c r="C116" i="7"/>
  <c r="D116" i="7"/>
  <c r="E116" i="7"/>
  <c r="F116" i="7"/>
  <c r="G116" i="7"/>
  <c r="H116" i="7"/>
  <c r="I116" i="7"/>
  <c r="J116" i="7"/>
  <c r="B117" i="7"/>
  <c r="C117" i="7"/>
  <c r="D117" i="7"/>
  <c r="F117" i="7"/>
  <c r="G117" i="7"/>
  <c r="H117" i="7"/>
  <c r="I117" i="7"/>
  <c r="J117" i="7"/>
  <c r="B118" i="7"/>
  <c r="C118" i="7"/>
  <c r="D118" i="7"/>
  <c r="E118" i="7"/>
  <c r="F118" i="7"/>
  <c r="G118" i="7"/>
  <c r="H118" i="7"/>
  <c r="I118" i="7"/>
  <c r="J118" i="7"/>
  <c r="B119" i="7"/>
  <c r="C119" i="7"/>
  <c r="D119" i="7"/>
  <c r="E119" i="7"/>
  <c r="F119" i="7"/>
  <c r="G119" i="7"/>
  <c r="H119" i="7"/>
  <c r="I119" i="7"/>
  <c r="J119" i="7"/>
  <c r="B120" i="7"/>
  <c r="C120" i="7"/>
  <c r="D120" i="7"/>
  <c r="F120" i="7"/>
  <c r="H120" i="7"/>
  <c r="J120" i="7"/>
  <c r="B121" i="7"/>
  <c r="C121" i="7"/>
  <c r="D121" i="7"/>
  <c r="E121" i="7"/>
  <c r="F121" i="7"/>
  <c r="G121" i="7"/>
  <c r="H121" i="7"/>
  <c r="I121" i="7"/>
  <c r="J121" i="7"/>
  <c r="B122" i="7"/>
  <c r="C122" i="7"/>
  <c r="D122" i="7"/>
  <c r="E122" i="7"/>
  <c r="F122" i="7"/>
  <c r="G122" i="7"/>
  <c r="H122" i="7"/>
  <c r="I122" i="7"/>
  <c r="J122" i="7"/>
  <c r="B123" i="7"/>
  <c r="C123" i="7"/>
  <c r="D123" i="7"/>
  <c r="E123" i="7"/>
  <c r="F123" i="7"/>
  <c r="G123" i="7"/>
  <c r="H123" i="7"/>
  <c r="I123" i="7"/>
  <c r="J123" i="7"/>
  <c r="B124" i="7"/>
  <c r="C124" i="7"/>
  <c r="D124" i="7"/>
  <c r="F124" i="7"/>
  <c r="H124" i="7"/>
  <c r="J124" i="7"/>
  <c r="B125" i="7"/>
  <c r="C125" i="7"/>
  <c r="D125" i="7"/>
  <c r="E125" i="7"/>
  <c r="F125" i="7"/>
  <c r="G125" i="7"/>
  <c r="H125" i="7"/>
  <c r="I125" i="7"/>
  <c r="J125" i="7"/>
  <c r="B126" i="7"/>
  <c r="C126" i="7"/>
  <c r="D126" i="7"/>
  <c r="F126" i="7"/>
  <c r="H126" i="7"/>
  <c r="J126" i="7"/>
  <c r="B127" i="7"/>
  <c r="C127" i="7"/>
  <c r="D127" i="7"/>
  <c r="E127" i="7"/>
  <c r="F127" i="7"/>
  <c r="G127" i="7"/>
  <c r="H127" i="7"/>
  <c r="I127" i="7"/>
  <c r="J127" i="7"/>
  <c r="B128" i="7"/>
  <c r="C128" i="7"/>
  <c r="F128" i="7"/>
  <c r="G128" i="7"/>
  <c r="H128" i="7"/>
  <c r="I128" i="7"/>
  <c r="J128" i="7"/>
  <c r="B129" i="7"/>
  <c r="C129" i="7"/>
  <c r="F129" i="7"/>
  <c r="H129" i="7"/>
  <c r="I129" i="7"/>
  <c r="J129" i="7"/>
  <c r="B130" i="7"/>
  <c r="C130" i="7"/>
  <c r="F130" i="7"/>
  <c r="H130" i="7"/>
  <c r="I130" i="7"/>
  <c r="J130" i="7"/>
  <c r="B131" i="7"/>
  <c r="C131" i="7"/>
  <c r="F131" i="7"/>
  <c r="H131" i="7"/>
  <c r="J131" i="7"/>
  <c r="B132" i="7"/>
  <c r="C132" i="7"/>
  <c r="D132" i="7"/>
  <c r="E132" i="7"/>
  <c r="F132" i="7"/>
  <c r="G132" i="7"/>
  <c r="H132" i="7"/>
  <c r="I132" i="7"/>
  <c r="J132" i="7"/>
  <c r="B133" i="7"/>
  <c r="C133" i="7"/>
  <c r="F133" i="7"/>
  <c r="G133" i="7"/>
  <c r="H133" i="7"/>
  <c r="I133" i="7"/>
  <c r="J133" i="7"/>
  <c r="B134" i="7"/>
  <c r="F134" i="7"/>
  <c r="H134" i="7"/>
  <c r="J134" i="7"/>
  <c r="B135" i="7"/>
  <c r="F135" i="7"/>
  <c r="H135" i="7"/>
  <c r="J135" i="7"/>
  <c r="B136" i="7"/>
  <c r="C136" i="7"/>
  <c r="F136" i="7"/>
  <c r="H136" i="7"/>
  <c r="J136" i="7"/>
  <c r="B137" i="7"/>
  <c r="C137" i="7"/>
  <c r="D137" i="7"/>
  <c r="E137" i="7"/>
  <c r="F137" i="7"/>
  <c r="G137" i="7"/>
  <c r="H137" i="7"/>
  <c r="I137" i="7"/>
  <c r="J137" i="7"/>
  <c r="B138" i="7"/>
  <c r="C138" i="7"/>
  <c r="D138" i="7"/>
  <c r="F138" i="7"/>
  <c r="G138" i="7"/>
  <c r="H138" i="7"/>
  <c r="I138" i="7"/>
  <c r="J138" i="7"/>
  <c r="B139" i="7"/>
  <c r="C139" i="7"/>
  <c r="F139" i="7"/>
  <c r="H139" i="7"/>
  <c r="I139" i="7"/>
  <c r="J139" i="7"/>
  <c r="B140" i="7"/>
  <c r="C140" i="7"/>
  <c r="F140" i="7"/>
  <c r="H140" i="7"/>
  <c r="I140" i="7"/>
  <c r="J140" i="7"/>
  <c r="B141" i="7"/>
  <c r="C141" i="7"/>
  <c r="D141" i="7"/>
  <c r="E141" i="7"/>
  <c r="F141" i="7"/>
  <c r="H141" i="7"/>
  <c r="J141" i="7"/>
  <c r="B142" i="7"/>
  <c r="C142" i="7"/>
  <c r="D142" i="7"/>
  <c r="E142" i="7"/>
  <c r="F142" i="7"/>
  <c r="G142" i="7"/>
  <c r="H142" i="7"/>
  <c r="I142" i="7"/>
  <c r="J142" i="7"/>
  <c r="B143" i="7"/>
  <c r="C143" i="7"/>
  <c r="D143" i="7"/>
  <c r="F143" i="7"/>
  <c r="G143" i="7"/>
  <c r="H143" i="7"/>
  <c r="I143" i="7"/>
  <c r="J143" i="7"/>
  <c r="B144" i="7"/>
  <c r="C144" i="7"/>
  <c r="F144" i="7"/>
  <c r="H144" i="7"/>
  <c r="I144" i="7"/>
  <c r="J144" i="7"/>
  <c r="B145" i="7"/>
  <c r="C145" i="7"/>
  <c r="D145" i="7"/>
  <c r="E145" i="7"/>
  <c r="B146" i="7"/>
  <c r="C146" i="7"/>
  <c r="D146" i="7"/>
  <c r="E146" i="7"/>
  <c r="B147" i="7"/>
  <c r="C147" i="7"/>
  <c r="D147" i="7"/>
  <c r="E147" i="7"/>
  <c r="C2" i="8"/>
  <c r="B96" i="8" s="1"/>
  <c r="C4" i="8"/>
  <c r="B98" i="8" s="1"/>
  <c r="E7" i="8"/>
  <c r="E101" i="8" s="1"/>
  <c r="C9" i="8"/>
  <c r="C10" i="8"/>
  <c r="C11" i="8"/>
  <c r="C12" i="8"/>
  <c r="C17" i="8"/>
  <c r="C18" i="8"/>
  <c r="C19" i="8"/>
  <c r="C20" i="8"/>
  <c r="B29" i="8"/>
  <c r="C29" i="8"/>
  <c r="B97" i="8"/>
  <c r="B101" i="8"/>
  <c r="C101" i="8"/>
  <c r="D101" i="8"/>
  <c r="F101" i="8"/>
  <c r="H101" i="8"/>
  <c r="B102" i="8"/>
  <c r="C102" i="8"/>
  <c r="D102" i="8"/>
  <c r="E102" i="8"/>
  <c r="F102" i="8"/>
  <c r="G102" i="8"/>
  <c r="H102" i="8"/>
  <c r="D103" i="8"/>
  <c r="F103" i="8"/>
  <c r="H103" i="8"/>
  <c r="D104" i="8"/>
  <c r="F104" i="8"/>
  <c r="H104" i="8"/>
  <c r="D105" i="8"/>
  <c r="F105" i="8"/>
  <c r="H105" i="8"/>
  <c r="D106" i="8"/>
  <c r="F106" i="8"/>
  <c r="H106" i="8"/>
  <c r="C107" i="8"/>
  <c r="D107" i="8"/>
  <c r="F107" i="8"/>
  <c r="H107" i="8"/>
  <c r="B108" i="8"/>
  <c r="C108" i="8"/>
  <c r="D108" i="8"/>
  <c r="E108" i="8"/>
  <c r="F108" i="8"/>
  <c r="G108" i="8"/>
  <c r="H108" i="8"/>
  <c r="B109" i="8"/>
  <c r="C109" i="8"/>
  <c r="D109" i="8"/>
  <c r="E109" i="8"/>
  <c r="F109" i="8"/>
  <c r="G109" i="8"/>
  <c r="H109" i="8"/>
  <c r="B110" i="8"/>
  <c r="C110" i="8"/>
  <c r="D110" i="8"/>
  <c r="E110" i="8"/>
  <c r="F110" i="8"/>
  <c r="G110" i="8"/>
  <c r="H110" i="8"/>
  <c r="D111" i="8"/>
  <c r="F111" i="8"/>
  <c r="H111" i="8"/>
  <c r="D112" i="8"/>
  <c r="F112" i="8"/>
  <c r="H112" i="8"/>
  <c r="D113" i="8"/>
  <c r="F113" i="8"/>
  <c r="H113" i="8"/>
  <c r="D114" i="8"/>
  <c r="F114" i="8"/>
  <c r="H114" i="8"/>
  <c r="C115" i="8"/>
  <c r="D115" i="8"/>
  <c r="F115" i="8"/>
  <c r="H115" i="8"/>
  <c r="B116" i="8"/>
  <c r="C116" i="8"/>
  <c r="D116" i="8"/>
  <c r="E116" i="8"/>
  <c r="F116" i="8"/>
  <c r="G116" i="8"/>
  <c r="H116" i="8"/>
  <c r="C117" i="8"/>
  <c r="D117" i="8"/>
  <c r="F117" i="8"/>
  <c r="H117" i="8"/>
  <c r="B118" i="8"/>
  <c r="C118" i="8"/>
  <c r="D118" i="8"/>
  <c r="E118" i="8"/>
  <c r="F118" i="8"/>
  <c r="G118" i="8"/>
  <c r="H118" i="8"/>
  <c r="B119" i="8"/>
  <c r="C119" i="8"/>
  <c r="D119" i="8"/>
  <c r="E119" i="8"/>
  <c r="F119" i="8"/>
  <c r="G119" i="8"/>
  <c r="H119" i="8"/>
  <c r="B120" i="8"/>
  <c r="C120" i="8"/>
  <c r="D120" i="8"/>
  <c r="E120" i="8"/>
  <c r="F120" i="8"/>
  <c r="G120" i="8"/>
  <c r="H120" i="8"/>
  <c r="C121" i="8"/>
  <c r="D121" i="8"/>
  <c r="F121" i="8"/>
  <c r="H121" i="8"/>
  <c r="C122" i="8"/>
  <c r="D122" i="8"/>
  <c r="F122" i="8"/>
  <c r="H122" i="8"/>
  <c r="D123" i="8"/>
  <c r="F123" i="8"/>
  <c r="B124" i="8"/>
  <c r="C124" i="8"/>
  <c r="D124" i="8"/>
  <c r="F124" i="8"/>
  <c r="H124" i="8"/>
  <c r="B125" i="8"/>
  <c r="C125" i="8"/>
  <c r="D125" i="8"/>
  <c r="E125" i="8"/>
  <c r="F125" i="8"/>
  <c r="G125" i="8"/>
  <c r="H125" i="8"/>
  <c r="D126" i="8"/>
  <c r="F126" i="8"/>
  <c r="H126" i="8"/>
  <c r="B127" i="8"/>
  <c r="C127" i="8"/>
  <c r="D127" i="8"/>
  <c r="E127" i="8"/>
  <c r="F127" i="8"/>
  <c r="G127" i="8"/>
  <c r="H127" i="8"/>
  <c r="C128" i="8"/>
  <c r="D128" i="8"/>
  <c r="F128" i="8"/>
  <c r="H128" i="8"/>
  <c r="F1" i="26"/>
  <c r="B195" i="26" s="1"/>
  <c r="F3" i="26"/>
  <c r="B197" i="26" s="1"/>
  <c r="H8" i="26"/>
  <c r="E188" i="38" s="1"/>
  <c r="H9" i="26"/>
  <c r="D10" i="26"/>
  <c r="D206" i="26" s="1"/>
  <c r="F10" i="26"/>
  <c r="F206" i="26" s="1"/>
  <c r="J17" i="26"/>
  <c r="J213" i="26" s="1"/>
  <c r="L17" i="26"/>
  <c r="L213" i="26" s="1"/>
  <c r="J23" i="26"/>
  <c r="J219" i="26" s="1"/>
  <c r="L23" i="26"/>
  <c r="L219" i="26" s="1"/>
  <c r="D24" i="26"/>
  <c r="D220" i="26" s="1"/>
  <c r="F24" i="26"/>
  <c r="G17" i="51" s="1"/>
  <c r="G240" i="51" s="1"/>
  <c r="N24" i="26"/>
  <c r="M17" i="51" s="1"/>
  <c r="M240" i="51" s="1"/>
  <c r="D25" i="26"/>
  <c r="D221" i="26" s="1"/>
  <c r="F25" i="26"/>
  <c r="G22" i="51" s="1"/>
  <c r="N25" i="26"/>
  <c r="F32" i="33" s="1"/>
  <c r="F238" i="33" s="1"/>
  <c r="J26" i="26"/>
  <c r="J222" i="26" s="1"/>
  <c r="L26" i="26"/>
  <c r="L222" i="26" s="1"/>
  <c r="J27" i="26"/>
  <c r="J223" i="26" s="1"/>
  <c r="L27" i="26"/>
  <c r="L223" i="26" s="1"/>
  <c r="B196" i="26"/>
  <c r="B201" i="26"/>
  <c r="C201" i="26"/>
  <c r="D201" i="26"/>
  <c r="E201" i="26"/>
  <c r="F201" i="26"/>
  <c r="G201" i="26"/>
  <c r="H201" i="26"/>
  <c r="I201" i="26"/>
  <c r="J201" i="26"/>
  <c r="K201" i="26"/>
  <c r="O201" i="26"/>
  <c r="P201" i="26"/>
  <c r="B202" i="26"/>
  <c r="E202" i="26"/>
  <c r="G202" i="26"/>
  <c r="I202" i="26"/>
  <c r="K202" i="26"/>
  <c r="L202" i="26"/>
  <c r="M202" i="26"/>
  <c r="N202" i="26"/>
  <c r="O202" i="26"/>
  <c r="B203" i="26"/>
  <c r="C203" i="26"/>
  <c r="D203" i="26"/>
  <c r="E203" i="26"/>
  <c r="F203" i="26"/>
  <c r="G203" i="26"/>
  <c r="H203" i="26"/>
  <c r="I203" i="26"/>
  <c r="J203" i="26"/>
  <c r="K203" i="26"/>
  <c r="L203" i="26"/>
  <c r="M203" i="26"/>
  <c r="N203" i="26"/>
  <c r="O203" i="26"/>
  <c r="P203" i="26"/>
  <c r="B204" i="26"/>
  <c r="D204" i="26"/>
  <c r="E204" i="26"/>
  <c r="F204" i="26"/>
  <c r="G204" i="26"/>
  <c r="I204" i="26"/>
  <c r="K204" i="26"/>
  <c r="M204" i="26"/>
  <c r="O204" i="26"/>
  <c r="B205" i="26"/>
  <c r="D205" i="26"/>
  <c r="E205" i="26"/>
  <c r="F205" i="26"/>
  <c r="G205" i="26"/>
  <c r="I205" i="26"/>
  <c r="K205" i="26"/>
  <c r="M205" i="26"/>
  <c r="O205" i="26"/>
  <c r="B206" i="26"/>
  <c r="E206" i="26"/>
  <c r="G206" i="26"/>
  <c r="I206" i="26"/>
  <c r="K206" i="26"/>
  <c r="M206" i="26"/>
  <c r="O206" i="26"/>
  <c r="B207" i="26"/>
  <c r="C207" i="26"/>
  <c r="D207" i="26"/>
  <c r="E207" i="26"/>
  <c r="F207" i="26"/>
  <c r="G207" i="26"/>
  <c r="H207" i="26"/>
  <c r="I207" i="26"/>
  <c r="J207" i="26"/>
  <c r="K207" i="26"/>
  <c r="L207" i="26"/>
  <c r="M207" i="26"/>
  <c r="N207" i="26"/>
  <c r="O207" i="26"/>
  <c r="P207" i="26"/>
  <c r="B208" i="26"/>
  <c r="C208" i="26"/>
  <c r="D208" i="26"/>
  <c r="E208" i="26"/>
  <c r="F208" i="26"/>
  <c r="G208" i="26"/>
  <c r="H208" i="26"/>
  <c r="I208" i="26"/>
  <c r="J208" i="26"/>
  <c r="K208" i="26"/>
  <c r="L208" i="26"/>
  <c r="M208" i="26"/>
  <c r="N208" i="26"/>
  <c r="O208" i="26"/>
  <c r="P208" i="26"/>
  <c r="B209" i="26"/>
  <c r="C209" i="26"/>
  <c r="D209" i="26"/>
  <c r="E209" i="26"/>
  <c r="F209" i="26"/>
  <c r="G209" i="26"/>
  <c r="H209" i="26"/>
  <c r="I209" i="26"/>
  <c r="M209" i="26"/>
  <c r="N209" i="26"/>
  <c r="O209" i="26"/>
  <c r="P209" i="26"/>
  <c r="B210" i="26"/>
  <c r="E210" i="26"/>
  <c r="G210" i="26"/>
  <c r="I210" i="26"/>
  <c r="J210" i="26"/>
  <c r="K210" i="26"/>
  <c r="L210" i="26"/>
  <c r="M210" i="26"/>
  <c r="O210" i="26"/>
  <c r="B211" i="26"/>
  <c r="C211" i="26"/>
  <c r="D211" i="26"/>
  <c r="E211" i="26"/>
  <c r="F211" i="26"/>
  <c r="G211" i="26"/>
  <c r="H211" i="26"/>
  <c r="I211" i="26"/>
  <c r="J211" i="26"/>
  <c r="K211" i="26"/>
  <c r="L211" i="26"/>
  <c r="M211" i="26"/>
  <c r="N211" i="26"/>
  <c r="O211" i="26"/>
  <c r="P211" i="26"/>
  <c r="B212" i="26"/>
  <c r="C212" i="26"/>
  <c r="D212" i="26"/>
  <c r="E212" i="26"/>
  <c r="F212" i="26"/>
  <c r="G212" i="26"/>
  <c r="H212" i="26"/>
  <c r="I212" i="26"/>
  <c r="J212" i="26"/>
  <c r="K212" i="26"/>
  <c r="L212" i="26"/>
  <c r="M212" i="26"/>
  <c r="N212" i="26"/>
  <c r="O212" i="26"/>
  <c r="P212" i="26"/>
  <c r="D213" i="26"/>
  <c r="E213" i="26"/>
  <c r="F213" i="26"/>
  <c r="G213" i="26"/>
  <c r="I213" i="26"/>
  <c r="K213" i="26"/>
  <c r="M213" i="26"/>
  <c r="N213" i="26"/>
  <c r="O213" i="26"/>
  <c r="E214" i="26"/>
  <c r="G214" i="26"/>
  <c r="I214" i="26"/>
  <c r="K214" i="26"/>
  <c r="M214" i="26"/>
  <c r="N214" i="26"/>
  <c r="O214" i="26"/>
  <c r="D215" i="26"/>
  <c r="E215" i="26"/>
  <c r="G215" i="26"/>
  <c r="I215" i="26"/>
  <c r="K215" i="26"/>
  <c r="M215" i="26"/>
  <c r="O215" i="26"/>
  <c r="B216" i="26"/>
  <c r="C216" i="26"/>
  <c r="E216" i="26"/>
  <c r="G216" i="26"/>
  <c r="I216" i="26"/>
  <c r="K216" i="26"/>
  <c r="M216" i="26"/>
  <c r="O216" i="26"/>
  <c r="B217" i="26"/>
  <c r="C217" i="26"/>
  <c r="D217" i="26"/>
  <c r="E217" i="26"/>
  <c r="F217" i="26"/>
  <c r="G217" i="26"/>
  <c r="H217" i="26"/>
  <c r="I217" i="26"/>
  <c r="J217" i="26"/>
  <c r="K217" i="26"/>
  <c r="L217" i="26"/>
  <c r="M217" i="26"/>
  <c r="N217" i="26"/>
  <c r="O217" i="26"/>
  <c r="P217" i="26"/>
  <c r="E218" i="26"/>
  <c r="G218" i="26"/>
  <c r="I218" i="26"/>
  <c r="K218" i="26"/>
  <c r="M218" i="26"/>
  <c r="O218" i="26"/>
  <c r="D219" i="26"/>
  <c r="E219" i="26"/>
  <c r="F219" i="26"/>
  <c r="G219" i="26"/>
  <c r="I219" i="26"/>
  <c r="K219" i="26"/>
  <c r="M219" i="26"/>
  <c r="N219" i="26"/>
  <c r="O219" i="26"/>
  <c r="E220" i="26"/>
  <c r="G220" i="26"/>
  <c r="I220" i="26"/>
  <c r="K220" i="26"/>
  <c r="M220" i="26"/>
  <c r="O220" i="26"/>
  <c r="E221" i="26"/>
  <c r="G221" i="26"/>
  <c r="I221" i="26"/>
  <c r="K221" i="26"/>
  <c r="M221" i="26"/>
  <c r="O221" i="26"/>
  <c r="D222" i="26"/>
  <c r="E222" i="26"/>
  <c r="F222" i="26"/>
  <c r="G222" i="26"/>
  <c r="I222" i="26"/>
  <c r="K222" i="26"/>
  <c r="M222" i="26"/>
  <c r="N222" i="26"/>
  <c r="O222" i="26"/>
  <c r="D223" i="26"/>
  <c r="E223" i="26"/>
  <c r="F223" i="26"/>
  <c r="G223" i="26"/>
  <c r="I223" i="26"/>
  <c r="K223" i="26"/>
  <c r="M223" i="26"/>
  <c r="N223" i="26"/>
  <c r="O223" i="26"/>
  <c r="B224" i="26"/>
  <c r="C224" i="26"/>
  <c r="E224" i="26"/>
  <c r="G224" i="26"/>
  <c r="I224" i="26"/>
  <c r="K224" i="26"/>
  <c r="M224" i="26"/>
  <c r="O224" i="26"/>
  <c r="B225" i="26"/>
  <c r="C225" i="26"/>
  <c r="D225" i="26"/>
  <c r="E225" i="26"/>
  <c r="F225" i="26"/>
  <c r="G225" i="26"/>
  <c r="H225" i="26"/>
  <c r="I225" i="26"/>
  <c r="J225" i="26"/>
  <c r="K225" i="26"/>
  <c r="L225" i="26"/>
  <c r="M225" i="26"/>
  <c r="N225" i="26"/>
  <c r="O225" i="26"/>
  <c r="P225" i="26"/>
  <c r="B226" i="26"/>
  <c r="E226" i="26"/>
  <c r="G226" i="26"/>
  <c r="I226" i="26"/>
  <c r="K226" i="26"/>
  <c r="M226" i="26"/>
  <c r="O226" i="26"/>
  <c r="C227" i="26"/>
  <c r="B228" i="26"/>
  <c r="C228" i="26"/>
  <c r="D228" i="26"/>
  <c r="E228" i="26"/>
  <c r="F228" i="26"/>
  <c r="G228" i="26"/>
  <c r="H228" i="26"/>
  <c r="I228" i="26"/>
  <c r="J228" i="26"/>
  <c r="K228" i="26"/>
  <c r="L228" i="26"/>
  <c r="M228" i="26"/>
  <c r="N228" i="26"/>
  <c r="O228" i="26"/>
  <c r="P228" i="26"/>
  <c r="E1" i="27"/>
  <c r="B194" i="27" s="1"/>
  <c r="D3" i="27"/>
  <c r="B196" i="27" s="1"/>
  <c r="E10" i="27"/>
  <c r="G10" i="27"/>
  <c r="O10" i="27"/>
  <c r="E15" i="27"/>
  <c r="C48" i="33" s="1"/>
  <c r="C254" i="33" s="1"/>
  <c r="G15" i="27"/>
  <c r="O15" i="27"/>
  <c r="F48" i="33" s="1"/>
  <c r="K16" i="27"/>
  <c r="K211" i="27" s="1"/>
  <c r="M16" i="27"/>
  <c r="M211" i="27" s="1"/>
  <c r="B195" i="27"/>
  <c r="B200" i="27"/>
  <c r="C200" i="27"/>
  <c r="D200" i="27"/>
  <c r="E200" i="27"/>
  <c r="F200" i="27"/>
  <c r="G200" i="27"/>
  <c r="H200" i="27"/>
  <c r="I200" i="27"/>
  <c r="J200" i="27"/>
  <c r="N200" i="27"/>
  <c r="O200" i="27"/>
  <c r="P200" i="27"/>
  <c r="Q200" i="27"/>
  <c r="B201" i="27"/>
  <c r="D201" i="27"/>
  <c r="F201" i="27"/>
  <c r="H201" i="27"/>
  <c r="J201" i="27"/>
  <c r="K201" i="27"/>
  <c r="L201" i="27"/>
  <c r="M201" i="27"/>
  <c r="N201" i="27"/>
  <c r="P201" i="27"/>
  <c r="B202" i="27"/>
  <c r="C202" i="27"/>
  <c r="D202" i="27"/>
  <c r="E202" i="27"/>
  <c r="F202" i="27"/>
  <c r="G202" i="27"/>
  <c r="H202" i="27"/>
  <c r="I202" i="27"/>
  <c r="J202" i="27"/>
  <c r="K202" i="27"/>
  <c r="L202" i="27"/>
  <c r="M202" i="27"/>
  <c r="N202" i="27"/>
  <c r="O202" i="27"/>
  <c r="P202" i="27"/>
  <c r="Q202" i="27"/>
  <c r="D203" i="27"/>
  <c r="F203" i="27"/>
  <c r="H203" i="27"/>
  <c r="J203" i="27"/>
  <c r="L203" i="27"/>
  <c r="N203" i="27"/>
  <c r="P203" i="27"/>
  <c r="D204" i="27"/>
  <c r="F204" i="27"/>
  <c r="H204" i="27"/>
  <c r="J204" i="27"/>
  <c r="L204" i="27"/>
  <c r="N204" i="27"/>
  <c r="P204" i="27"/>
  <c r="D205" i="27"/>
  <c r="F205" i="27"/>
  <c r="H205" i="27"/>
  <c r="J205" i="27"/>
  <c r="L205" i="27"/>
  <c r="N205" i="27"/>
  <c r="P205" i="27"/>
  <c r="D206" i="27"/>
  <c r="F206" i="27"/>
  <c r="H206" i="27"/>
  <c r="J206" i="27"/>
  <c r="L206" i="27"/>
  <c r="N206" i="27"/>
  <c r="P206" i="27"/>
  <c r="D207" i="27"/>
  <c r="F207" i="27"/>
  <c r="H207" i="27"/>
  <c r="J207" i="27"/>
  <c r="L207" i="27"/>
  <c r="N207" i="27"/>
  <c r="P207" i="27"/>
  <c r="D208" i="27"/>
  <c r="F208" i="27"/>
  <c r="H208" i="27"/>
  <c r="J208" i="27"/>
  <c r="L208" i="27"/>
  <c r="N208" i="27"/>
  <c r="P208" i="27"/>
  <c r="D209" i="27"/>
  <c r="F209" i="27"/>
  <c r="H209" i="27"/>
  <c r="J209" i="27"/>
  <c r="L209" i="27"/>
  <c r="N209" i="27"/>
  <c r="P209" i="27"/>
  <c r="F210" i="27"/>
  <c r="H210" i="27"/>
  <c r="J210" i="27"/>
  <c r="L210" i="27"/>
  <c r="N210" i="27"/>
  <c r="P210" i="27"/>
  <c r="E211" i="27"/>
  <c r="F211" i="27"/>
  <c r="G211" i="27"/>
  <c r="H211" i="27"/>
  <c r="J211" i="27"/>
  <c r="L211" i="27"/>
  <c r="N211" i="27"/>
  <c r="O211" i="27"/>
  <c r="P211" i="27"/>
  <c r="B212" i="27"/>
  <c r="C212" i="27"/>
  <c r="D212" i="27"/>
  <c r="E212" i="27"/>
  <c r="F212" i="27"/>
  <c r="G212" i="27"/>
  <c r="H212" i="27"/>
  <c r="I212" i="27"/>
  <c r="J212" i="27"/>
  <c r="K212" i="27"/>
  <c r="L212" i="27"/>
  <c r="M212" i="27"/>
  <c r="N212" i="27"/>
  <c r="O212" i="27"/>
  <c r="P212" i="27"/>
  <c r="Q212" i="27"/>
  <c r="B213" i="27"/>
  <c r="D213" i="27"/>
  <c r="F213" i="27"/>
  <c r="H213" i="27"/>
  <c r="J213" i="27"/>
  <c r="L213" i="27"/>
  <c r="N213" i="27"/>
  <c r="P213" i="27"/>
  <c r="C214" i="27"/>
  <c r="F1" i="32"/>
  <c r="B194" i="32" s="1"/>
  <c r="F2" i="32"/>
  <c r="B195" i="32" s="1"/>
  <c r="J6" i="32"/>
  <c r="L6" i="32"/>
  <c r="D9" i="32"/>
  <c r="D203" i="32" s="1"/>
  <c r="L9" i="32"/>
  <c r="L203" i="32" s="1"/>
  <c r="M9" i="32"/>
  <c r="V9" i="32" s="1"/>
  <c r="P9" i="32"/>
  <c r="I291" i="38" s="1"/>
  <c r="D10" i="32"/>
  <c r="D204" i="32" s="1"/>
  <c r="L10" i="32"/>
  <c r="L204" i="32" s="1"/>
  <c r="M10" i="32"/>
  <c r="V10" i="32" s="1"/>
  <c r="P10" i="32"/>
  <c r="D11" i="32"/>
  <c r="D205" i="32" s="1"/>
  <c r="L11" i="32"/>
  <c r="L205" i="32" s="1"/>
  <c r="M11" i="32"/>
  <c r="V11" i="32" s="1"/>
  <c r="P11" i="32"/>
  <c r="D12" i="32"/>
  <c r="D206" i="32" s="1"/>
  <c r="L12" i="32"/>
  <c r="L206" i="32" s="1"/>
  <c r="M12" i="32"/>
  <c r="M206" i="32" s="1"/>
  <c r="P12" i="32"/>
  <c r="D13" i="32"/>
  <c r="D207" i="32" s="1"/>
  <c r="L13" i="32"/>
  <c r="L207" i="32" s="1"/>
  <c r="M13" i="32"/>
  <c r="P13" i="32"/>
  <c r="D14" i="32"/>
  <c r="D208" i="32" s="1"/>
  <c r="L14" i="32"/>
  <c r="L208" i="32" s="1"/>
  <c r="M14" i="32"/>
  <c r="V14" i="32" s="1"/>
  <c r="P14" i="32"/>
  <c r="D15" i="32"/>
  <c r="D209" i="32" s="1"/>
  <c r="L15" i="32"/>
  <c r="L209" i="32" s="1"/>
  <c r="M15" i="32"/>
  <c r="M209" i="32" s="1"/>
  <c r="P15" i="32"/>
  <c r="D16" i="32"/>
  <c r="D210" i="32" s="1"/>
  <c r="L16" i="32"/>
  <c r="L210" i="32" s="1"/>
  <c r="M16" i="32"/>
  <c r="P16" i="32"/>
  <c r="D17" i="32"/>
  <c r="D211" i="32" s="1"/>
  <c r="L17" i="32"/>
  <c r="L211" i="32" s="1"/>
  <c r="M17" i="32"/>
  <c r="V17" i="32" s="1"/>
  <c r="P17" i="32"/>
  <c r="I299" i="38" s="1"/>
  <c r="D18" i="32"/>
  <c r="D212" i="32" s="1"/>
  <c r="L18" i="32"/>
  <c r="L212" i="32" s="1"/>
  <c r="M18" i="32"/>
  <c r="P18" i="32"/>
  <c r="D19" i="32"/>
  <c r="D213" i="32" s="1"/>
  <c r="L19" i="32"/>
  <c r="L213" i="32" s="1"/>
  <c r="M19" i="32"/>
  <c r="V19" i="32" s="1"/>
  <c r="P19" i="32"/>
  <c r="D20" i="32"/>
  <c r="D214" i="32" s="1"/>
  <c r="L20" i="32"/>
  <c r="L214" i="32" s="1"/>
  <c r="M20" i="32"/>
  <c r="P20" i="32"/>
  <c r="I302" i="38" s="1"/>
  <c r="D21" i="32"/>
  <c r="D215" i="32" s="1"/>
  <c r="L21" i="32"/>
  <c r="L215" i="32" s="1"/>
  <c r="M21" i="32"/>
  <c r="P21" i="32"/>
  <c r="D22" i="32"/>
  <c r="D216" i="32" s="1"/>
  <c r="L22" i="32"/>
  <c r="L216" i="32" s="1"/>
  <c r="M22" i="32"/>
  <c r="P22" i="32"/>
  <c r="D23" i="32"/>
  <c r="D217" i="32" s="1"/>
  <c r="L23" i="32"/>
  <c r="L217" i="32" s="1"/>
  <c r="M23" i="32"/>
  <c r="P23" i="32"/>
  <c r="D24" i="32"/>
  <c r="D218" i="32" s="1"/>
  <c r="L24" i="32"/>
  <c r="L218" i="32" s="1"/>
  <c r="M24" i="32"/>
  <c r="P24" i="32"/>
  <c r="I306" i="38" s="1"/>
  <c r="D25" i="32"/>
  <c r="D219" i="32" s="1"/>
  <c r="L25" i="32"/>
  <c r="L219" i="32" s="1"/>
  <c r="M25" i="32"/>
  <c r="P25" i="32"/>
  <c r="I307" i="38" s="1"/>
  <c r="D26" i="32"/>
  <c r="D220" i="32" s="1"/>
  <c r="L26" i="32"/>
  <c r="L220" i="32" s="1"/>
  <c r="M26" i="32"/>
  <c r="P26" i="32"/>
  <c r="I308" i="38" s="1"/>
  <c r="D27" i="32"/>
  <c r="D221" i="32" s="1"/>
  <c r="L27" i="32"/>
  <c r="L221" i="32" s="1"/>
  <c r="M27" i="32"/>
  <c r="V27" i="32" s="1"/>
  <c r="P27" i="32"/>
  <c r="I309" i="38" s="1"/>
  <c r="D28" i="32"/>
  <c r="D222" i="32" s="1"/>
  <c r="L28" i="32"/>
  <c r="L222" i="32" s="1"/>
  <c r="M28" i="32"/>
  <c r="V28" i="32" s="1"/>
  <c r="P28" i="32"/>
  <c r="D29" i="32"/>
  <c r="D223" i="32" s="1"/>
  <c r="L29" i="32"/>
  <c r="L223" i="32" s="1"/>
  <c r="M29" i="32"/>
  <c r="V29" i="32" s="1"/>
  <c r="P29" i="32"/>
  <c r="D30" i="32"/>
  <c r="D224" i="32" s="1"/>
  <c r="L30" i="32"/>
  <c r="L224" i="32" s="1"/>
  <c r="M30" i="32"/>
  <c r="V30" i="32" s="1"/>
  <c r="P30" i="32"/>
  <c r="D31" i="32"/>
  <c r="D225" i="32" s="1"/>
  <c r="L31" i="32"/>
  <c r="L225" i="32" s="1"/>
  <c r="M31" i="32"/>
  <c r="V31" i="32" s="1"/>
  <c r="P31" i="32"/>
  <c r="D32" i="32"/>
  <c r="D226" i="32" s="1"/>
  <c r="L32" i="32"/>
  <c r="L226" i="32" s="1"/>
  <c r="M32" i="32"/>
  <c r="V32" i="32" s="1"/>
  <c r="P32" i="32"/>
  <c r="D33" i="32"/>
  <c r="D227" i="32" s="1"/>
  <c r="L33" i="32"/>
  <c r="L227" i="32" s="1"/>
  <c r="M33" i="32"/>
  <c r="V33" i="32" s="1"/>
  <c r="P33" i="32"/>
  <c r="D34" i="32"/>
  <c r="D228" i="32" s="1"/>
  <c r="L34" i="32"/>
  <c r="L228" i="32" s="1"/>
  <c r="M34" i="32"/>
  <c r="V34" i="32" s="1"/>
  <c r="P34" i="32"/>
  <c r="D35" i="32"/>
  <c r="D229" i="32" s="1"/>
  <c r="L35" i="32"/>
  <c r="L229" i="32" s="1"/>
  <c r="M35" i="32"/>
  <c r="V35" i="32" s="1"/>
  <c r="P35" i="32"/>
  <c r="D36" i="32"/>
  <c r="D230" i="32" s="1"/>
  <c r="L36" i="32"/>
  <c r="L230" i="32" s="1"/>
  <c r="M36" i="32"/>
  <c r="P36" i="32"/>
  <c r="D37" i="32"/>
  <c r="D231" i="32" s="1"/>
  <c r="L37" i="32"/>
  <c r="L231" i="32" s="1"/>
  <c r="M37" i="32"/>
  <c r="P37" i="32"/>
  <c r="D38" i="32"/>
  <c r="D232" i="32" s="1"/>
  <c r="L38" i="32"/>
  <c r="L232" i="32" s="1"/>
  <c r="M38" i="32"/>
  <c r="V38" i="32" s="1"/>
  <c r="P38" i="32"/>
  <c r="I320" i="38" s="1"/>
  <c r="B39" i="32"/>
  <c r="B41" i="32" s="1"/>
  <c r="B235" i="32" s="1"/>
  <c r="C39" i="32"/>
  <c r="G39" i="32"/>
  <c r="G41" i="32" s="1"/>
  <c r="G235" i="32" s="1"/>
  <c r="H39" i="32"/>
  <c r="I39" i="32"/>
  <c r="I233" i="32" s="1"/>
  <c r="J39" i="32"/>
  <c r="K39" i="32"/>
  <c r="K41" i="32" s="1"/>
  <c r="N39" i="32"/>
  <c r="O39" i="32"/>
  <c r="O41" i="32" s="1"/>
  <c r="Q39" i="32"/>
  <c r="R39" i="32"/>
  <c r="S39" i="32"/>
  <c r="T39" i="32"/>
  <c r="D40" i="32"/>
  <c r="D234" i="32" s="1"/>
  <c r="V40" i="32"/>
  <c r="B196" i="32"/>
  <c r="B199" i="32"/>
  <c r="C199" i="32"/>
  <c r="D199" i="32"/>
  <c r="E199" i="32"/>
  <c r="F199" i="32"/>
  <c r="G199" i="32"/>
  <c r="H199" i="32"/>
  <c r="I199" i="32"/>
  <c r="J199" i="32"/>
  <c r="K199" i="32"/>
  <c r="L199" i="32"/>
  <c r="M199" i="32"/>
  <c r="N199" i="32"/>
  <c r="O199" i="32"/>
  <c r="P199" i="32"/>
  <c r="D200" i="32"/>
  <c r="E200" i="32"/>
  <c r="F200" i="32"/>
  <c r="G200" i="32"/>
  <c r="K200" i="32"/>
  <c r="N200" i="32"/>
  <c r="O200" i="32"/>
  <c r="P200" i="32"/>
  <c r="Q200" i="32"/>
  <c r="R200" i="32"/>
  <c r="S200" i="32"/>
  <c r="T200" i="32"/>
  <c r="B201" i="32"/>
  <c r="C201" i="32"/>
  <c r="D201" i="32"/>
  <c r="E201" i="32"/>
  <c r="F201" i="32"/>
  <c r="G201" i="32"/>
  <c r="N201" i="32"/>
  <c r="O201" i="32"/>
  <c r="P201" i="32"/>
  <c r="Q201" i="32"/>
  <c r="R201" i="32"/>
  <c r="S201" i="32"/>
  <c r="T201" i="32"/>
  <c r="B202" i="32"/>
  <c r="C202" i="32"/>
  <c r="D202" i="32"/>
  <c r="E202" i="32"/>
  <c r="F202" i="32"/>
  <c r="G202" i="32"/>
  <c r="H202" i="32"/>
  <c r="I202" i="32"/>
  <c r="J202" i="32"/>
  <c r="K202" i="32"/>
  <c r="L202" i="32"/>
  <c r="M202" i="32"/>
  <c r="N202" i="32"/>
  <c r="O202" i="32"/>
  <c r="P202" i="32"/>
  <c r="Q202" i="32"/>
  <c r="R202" i="32"/>
  <c r="S202" i="32"/>
  <c r="T202" i="32"/>
  <c r="B203" i="32"/>
  <c r="C203" i="32"/>
  <c r="E203" i="32"/>
  <c r="F203" i="32"/>
  <c r="G203" i="32"/>
  <c r="H203" i="32"/>
  <c r="I203" i="32"/>
  <c r="J203" i="32"/>
  <c r="K203" i="32"/>
  <c r="N203" i="32"/>
  <c r="O203" i="32"/>
  <c r="Q203" i="32"/>
  <c r="R203" i="32"/>
  <c r="S203" i="32"/>
  <c r="T203" i="32"/>
  <c r="B204" i="32"/>
  <c r="C204" i="32"/>
  <c r="E204" i="32"/>
  <c r="F204" i="32"/>
  <c r="G204" i="32"/>
  <c r="H204" i="32"/>
  <c r="I204" i="32"/>
  <c r="J204" i="32"/>
  <c r="K204" i="32"/>
  <c r="N204" i="32"/>
  <c r="O204" i="32"/>
  <c r="Q204" i="32"/>
  <c r="R204" i="32"/>
  <c r="S204" i="32"/>
  <c r="T204" i="32"/>
  <c r="B205" i="32"/>
  <c r="C205" i="32"/>
  <c r="E205" i="32"/>
  <c r="F205" i="32"/>
  <c r="G205" i="32"/>
  <c r="H205" i="32"/>
  <c r="I205" i="32"/>
  <c r="J205" i="32"/>
  <c r="K205" i="32"/>
  <c r="N205" i="32"/>
  <c r="O205" i="32"/>
  <c r="Q205" i="32"/>
  <c r="R205" i="32"/>
  <c r="S205" i="32"/>
  <c r="T205" i="32"/>
  <c r="B206" i="32"/>
  <c r="C206" i="32"/>
  <c r="E206" i="32"/>
  <c r="F206" i="32"/>
  <c r="G206" i="32"/>
  <c r="H206" i="32"/>
  <c r="I206" i="32"/>
  <c r="J206" i="32"/>
  <c r="K206" i="32"/>
  <c r="N206" i="32"/>
  <c r="O206" i="32"/>
  <c r="Q206" i="32"/>
  <c r="R206" i="32"/>
  <c r="S206" i="32"/>
  <c r="T206" i="32"/>
  <c r="B207" i="32"/>
  <c r="C207" i="32"/>
  <c r="E207" i="32"/>
  <c r="F207" i="32"/>
  <c r="G207" i="32"/>
  <c r="H207" i="32"/>
  <c r="I207" i="32"/>
  <c r="J207" i="32"/>
  <c r="K207" i="32"/>
  <c r="N207" i="32"/>
  <c r="O207" i="32"/>
  <c r="Q207" i="32"/>
  <c r="R207" i="32"/>
  <c r="S207" i="32"/>
  <c r="T207" i="32"/>
  <c r="B208" i="32"/>
  <c r="C208" i="32"/>
  <c r="E208" i="32"/>
  <c r="F208" i="32"/>
  <c r="G208" i="32"/>
  <c r="H208" i="32"/>
  <c r="I208" i="32"/>
  <c r="J208" i="32"/>
  <c r="K208" i="32"/>
  <c r="N208" i="32"/>
  <c r="O208" i="32"/>
  <c r="Q208" i="32"/>
  <c r="R208" i="32"/>
  <c r="S208" i="32"/>
  <c r="T208" i="32"/>
  <c r="B209" i="32"/>
  <c r="C209" i="32"/>
  <c r="E209" i="32"/>
  <c r="F209" i="32"/>
  <c r="G209" i="32"/>
  <c r="H209" i="32"/>
  <c r="I209" i="32"/>
  <c r="J209" i="32"/>
  <c r="K209" i="32"/>
  <c r="N209" i="32"/>
  <c r="O209" i="32"/>
  <c r="Q209" i="32"/>
  <c r="R209" i="32"/>
  <c r="S209" i="32"/>
  <c r="T209" i="32"/>
  <c r="B210" i="32"/>
  <c r="C210" i="32"/>
  <c r="E210" i="32"/>
  <c r="F210" i="32"/>
  <c r="G210" i="32"/>
  <c r="H210" i="32"/>
  <c r="I210" i="32"/>
  <c r="J210" i="32"/>
  <c r="K210" i="32"/>
  <c r="N210" i="32"/>
  <c r="O210" i="32"/>
  <c r="Q210" i="32"/>
  <c r="R210" i="32"/>
  <c r="S210" i="32"/>
  <c r="T210" i="32"/>
  <c r="B211" i="32"/>
  <c r="C211" i="32"/>
  <c r="E211" i="32"/>
  <c r="F211" i="32"/>
  <c r="G211" i="32"/>
  <c r="H211" i="32"/>
  <c r="I211" i="32"/>
  <c r="J211" i="32"/>
  <c r="K211" i="32"/>
  <c r="N211" i="32"/>
  <c r="O211" i="32"/>
  <c r="Q211" i="32"/>
  <c r="R211" i="32"/>
  <c r="S211" i="32"/>
  <c r="T211" i="32"/>
  <c r="B212" i="32"/>
  <c r="C212" i="32"/>
  <c r="E212" i="32"/>
  <c r="F212" i="32"/>
  <c r="G212" i="32"/>
  <c r="H212" i="32"/>
  <c r="I212" i="32"/>
  <c r="J212" i="32"/>
  <c r="K212" i="32"/>
  <c r="N212" i="32"/>
  <c r="O212" i="32"/>
  <c r="Q212" i="32"/>
  <c r="R212" i="32"/>
  <c r="S212" i="32"/>
  <c r="T212" i="32"/>
  <c r="B213" i="32"/>
  <c r="C213" i="32"/>
  <c r="E213" i="32"/>
  <c r="F213" i="32"/>
  <c r="G213" i="32"/>
  <c r="H213" i="32"/>
  <c r="I213" i="32"/>
  <c r="J213" i="32"/>
  <c r="K213" i="32"/>
  <c r="N213" i="32"/>
  <c r="O213" i="32"/>
  <c r="Q213" i="32"/>
  <c r="R213" i="32"/>
  <c r="S213" i="32"/>
  <c r="T213" i="32"/>
  <c r="B214" i="32"/>
  <c r="C214" i="32"/>
  <c r="E214" i="32"/>
  <c r="F214" i="32"/>
  <c r="G214" i="32"/>
  <c r="H214" i="32"/>
  <c r="I214" i="32"/>
  <c r="J214" i="32"/>
  <c r="K214" i="32"/>
  <c r="N214" i="32"/>
  <c r="O214" i="32"/>
  <c r="Q214" i="32"/>
  <c r="R214" i="32"/>
  <c r="S214" i="32"/>
  <c r="T214" i="32"/>
  <c r="B215" i="32"/>
  <c r="C215" i="32"/>
  <c r="E215" i="32"/>
  <c r="F215" i="32"/>
  <c r="G215" i="32"/>
  <c r="H215" i="32"/>
  <c r="I215" i="32"/>
  <c r="J215" i="32"/>
  <c r="K215" i="32"/>
  <c r="N215" i="32"/>
  <c r="O215" i="32"/>
  <c r="Q215" i="32"/>
  <c r="R215" i="32"/>
  <c r="S215" i="32"/>
  <c r="T215" i="32"/>
  <c r="B216" i="32"/>
  <c r="C216" i="32"/>
  <c r="E216" i="32"/>
  <c r="F216" i="32"/>
  <c r="G216" i="32"/>
  <c r="H216" i="32"/>
  <c r="I216" i="32"/>
  <c r="J216" i="32"/>
  <c r="K216" i="32"/>
  <c r="N216" i="32"/>
  <c r="O216" i="32"/>
  <c r="Q216" i="32"/>
  <c r="R216" i="32"/>
  <c r="S216" i="32"/>
  <c r="T216" i="32"/>
  <c r="B217" i="32"/>
  <c r="C217" i="32"/>
  <c r="E217" i="32"/>
  <c r="F217" i="32"/>
  <c r="G217" i="32"/>
  <c r="H217" i="32"/>
  <c r="I217" i="32"/>
  <c r="J217" i="32"/>
  <c r="K217" i="32"/>
  <c r="N217" i="32"/>
  <c r="O217" i="32"/>
  <c r="Q217" i="32"/>
  <c r="R217" i="32"/>
  <c r="S217" i="32"/>
  <c r="T217" i="32"/>
  <c r="B218" i="32"/>
  <c r="C218" i="32"/>
  <c r="E218" i="32"/>
  <c r="F218" i="32"/>
  <c r="G218" i="32"/>
  <c r="H218" i="32"/>
  <c r="I218" i="32"/>
  <c r="J218" i="32"/>
  <c r="K218" i="32"/>
  <c r="N218" i="32"/>
  <c r="O218" i="32"/>
  <c r="Q218" i="32"/>
  <c r="R218" i="32"/>
  <c r="S218" i="32"/>
  <c r="T218" i="32"/>
  <c r="B219" i="32"/>
  <c r="C219" i="32"/>
  <c r="E219" i="32"/>
  <c r="F219" i="32"/>
  <c r="G219" i="32"/>
  <c r="H219" i="32"/>
  <c r="I219" i="32"/>
  <c r="J219" i="32"/>
  <c r="K219" i="32"/>
  <c r="N219" i="32"/>
  <c r="O219" i="32"/>
  <c r="Q219" i="32"/>
  <c r="R219" i="32"/>
  <c r="S219" i="32"/>
  <c r="T219" i="32"/>
  <c r="B220" i="32"/>
  <c r="C220" i="32"/>
  <c r="E220" i="32"/>
  <c r="F220" i="32"/>
  <c r="G220" i="32"/>
  <c r="H220" i="32"/>
  <c r="I220" i="32"/>
  <c r="J220" i="32"/>
  <c r="K220" i="32"/>
  <c r="N220" i="32"/>
  <c r="O220" i="32"/>
  <c r="Q220" i="32"/>
  <c r="R220" i="32"/>
  <c r="S220" i="32"/>
  <c r="T220" i="32"/>
  <c r="B221" i="32"/>
  <c r="C221" i="32"/>
  <c r="E221" i="32"/>
  <c r="F221" i="32"/>
  <c r="G221" i="32"/>
  <c r="H221" i="32"/>
  <c r="I221" i="32"/>
  <c r="J221" i="32"/>
  <c r="K221" i="32"/>
  <c r="M221" i="32"/>
  <c r="N221" i="32"/>
  <c r="O221" i="32"/>
  <c r="Q221" i="32"/>
  <c r="R221" i="32"/>
  <c r="S221" i="32"/>
  <c r="T221" i="32"/>
  <c r="B222" i="32"/>
  <c r="C222" i="32"/>
  <c r="E222" i="32"/>
  <c r="F222" i="32"/>
  <c r="G222" i="32"/>
  <c r="H222" i="32"/>
  <c r="I222" i="32"/>
  <c r="J222" i="32"/>
  <c r="K222" i="32"/>
  <c r="M222" i="32"/>
  <c r="N222" i="32"/>
  <c r="O222" i="32"/>
  <c r="Q222" i="32"/>
  <c r="R222" i="32"/>
  <c r="S222" i="32"/>
  <c r="T222" i="32"/>
  <c r="B223" i="32"/>
  <c r="C223" i="32"/>
  <c r="E223" i="32"/>
  <c r="F223" i="32"/>
  <c r="G223" i="32"/>
  <c r="H223" i="32"/>
  <c r="I223" i="32"/>
  <c r="J223" i="32"/>
  <c r="K223" i="32"/>
  <c r="M223" i="32"/>
  <c r="N223" i="32"/>
  <c r="O223" i="32"/>
  <c r="Q223" i="32"/>
  <c r="R223" i="32"/>
  <c r="S223" i="32"/>
  <c r="T223" i="32"/>
  <c r="B224" i="32"/>
  <c r="C224" i="32"/>
  <c r="E224" i="32"/>
  <c r="F224" i="32"/>
  <c r="G224" i="32"/>
  <c r="H224" i="32"/>
  <c r="I224" i="32"/>
  <c r="J224" i="32"/>
  <c r="K224" i="32"/>
  <c r="M224" i="32"/>
  <c r="N224" i="32"/>
  <c r="O224" i="32"/>
  <c r="Q224" i="32"/>
  <c r="R224" i="32"/>
  <c r="S224" i="32"/>
  <c r="T224" i="32"/>
  <c r="B225" i="32"/>
  <c r="C225" i="32"/>
  <c r="E225" i="32"/>
  <c r="F225" i="32"/>
  <c r="G225" i="32"/>
  <c r="H225" i="32"/>
  <c r="I225" i="32"/>
  <c r="J225" i="32"/>
  <c r="K225" i="32"/>
  <c r="M225" i="32"/>
  <c r="N225" i="32"/>
  <c r="O225" i="32"/>
  <c r="Q225" i="32"/>
  <c r="R225" i="32"/>
  <c r="S225" i="32"/>
  <c r="T225" i="32"/>
  <c r="B226" i="32"/>
  <c r="C226" i="32"/>
  <c r="E226" i="32"/>
  <c r="F226" i="32"/>
  <c r="G226" i="32"/>
  <c r="H226" i="32"/>
  <c r="I226" i="32"/>
  <c r="J226" i="32"/>
  <c r="K226" i="32"/>
  <c r="M226" i="32"/>
  <c r="N226" i="32"/>
  <c r="O226" i="32"/>
  <c r="Q226" i="32"/>
  <c r="R226" i="32"/>
  <c r="S226" i="32"/>
  <c r="T226" i="32"/>
  <c r="B227" i="32"/>
  <c r="C227" i="32"/>
  <c r="E227" i="32"/>
  <c r="F227" i="32"/>
  <c r="G227" i="32"/>
  <c r="H227" i="32"/>
  <c r="I227" i="32"/>
  <c r="J227" i="32"/>
  <c r="K227" i="32"/>
  <c r="M227" i="32"/>
  <c r="N227" i="32"/>
  <c r="O227" i="32"/>
  <c r="Q227" i="32"/>
  <c r="R227" i="32"/>
  <c r="S227" i="32"/>
  <c r="T227" i="32"/>
  <c r="B228" i="32"/>
  <c r="C228" i="32"/>
  <c r="E228" i="32"/>
  <c r="F228" i="32"/>
  <c r="G228" i="32"/>
  <c r="H228" i="32"/>
  <c r="I228" i="32"/>
  <c r="J228" i="32"/>
  <c r="K228" i="32"/>
  <c r="M228" i="32"/>
  <c r="N228" i="32"/>
  <c r="O228" i="32"/>
  <c r="Q228" i="32"/>
  <c r="R228" i="32"/>
  <c r="S228" i="32"/>
  <c r="T228" i="32"/>
  <c r="B229" i="32"/>
  <c r="C229" i="32"/>
  <c r="E229" i="32"/>
  <c r="F229" i="32"/>
  <c r="G229" i="32"/>
  <c r="H229" i="32"/>
  <c r="I229" i="32"/>
  <c r="J229" i="32"/>
  <c r="K229" i="32"/>
  <c r="M229" i="32"/>
  <c r="N229" i="32"/>
  <c r="O229" i="32"/>
  <c r="Q229" i="32"/>
  <c r="R229" i="32"/>
  <c r="S229" i="32"/>
  <c r="T229" i="32"/>
  <c r="B230" i="32"/>
  <c r="C230" i="32"/>
  <c r="E230" i="32"/>
  <c r="F230" i="32"/>
  <c r="G230" i="32"/>
  <c r="H230" i="32"/>
  <c r="I230" i="32"/>
  <c r="J230" i="32"/>
  <c r="K230" i="32"/>
  <c r="N230" i="32"/>
  <c r="O230" i="32"/>
  <c r="Q230" i="32"/>
  <c r="R230" i="32"/>
  <c r="S230" i="32"/>
  <c r="T230" i="32"/>
  <c r="B231" i="32"/>
  <c r="C231" i="32"/>
  <c r="E231" i="32"/>
  <c r="F231" i="32"/>
  <c r="G231" i="32"/>
  <c r="H231" i="32"/>
  <c r="I231" i="32"/>
  <c r="J231" i="32"/>
  <c r="K231" i="32"/>
  <c r="N231" i="32"/>
  <c r="O231" i="32"/>
  <c r="Q231" i="32"/>
  <c r="R231" i="32"/>
  <c r="S231" i="32"/>
  <c r="T231" i="32"/>
  <c r="B232" i="32"/>
  <c r="C232" i="32"/>
  <c r="E232" i="32"/>
  <c r="F232" i="32"/>
  <c r="G232" i="32"/>
  <c r="H232" i="32"/>
  <c r="I232" i="32"/>
  <c r="J232" i="32"/>
  <c r="K232" i="32"/>
  <c r="N232" i="32"/>
  <c r="O232" i="32"/>
  <c r="Q232" i="32"/>
  <c r="R232" i="32"/>
  <c r="S232" i="32"/>
  <c r="T232" i="32"/>
  <c r="F233" i="32"/>
  <c r="B234" i="32"/>
  <c r="C234" i="32"/>
  <c r="E234" i="32"/>
  <c r="F234" i="32"/>
  <c r="G234" i="32"/>
  <c r="H234" i="32"/>
  <c r="I234" i="32"/>
  <c r="J234" i="32"/>
  <c r="K234" i="32"/>
  <c r="L234" i="32"/>
  <c r="M234" i="32"/>
  <c r="N234" i="32"/>
  <c r="O234" i="32"/>
  <c r="P234" i="32"/>
  <c r="Q234" i="32"/>
  <c r="R234" i="32"/>
  <c r="S234" i="32"/>
  <c r="T234" i="32"/>
  <c r="F235" i="32"/>
  <c r="B236" i="32"/>
  <c r="C236" i="32"/>
  <c r="D236" i="32"/>
  <c r="E236" i="32"/>
  <c r="F236" i="32"/>
  <c r="G236" i="32"/>
  <c r="H236" i="32"/>
  <c r="I236" i="32"/>
  <c r="J236" i="32"/>
  <c r="K236" i="32"/>
  <c r="L236" i="32"/>
  <c r="M236" i="32"/>
  <c r="N236" i="32"/>
  <c r="O236" i="32"/>
  <c r="P236" i="32"/>
  <c r="Q236" i="32"/>
  <c r="R236" i="32"/>
  <c r="S236" i="32"/>
  <c r="T236" i="32"/>
  <c r="E1" i="21"/>
  <c r="B205" i="21" s="1"/>
  <c r="E2" i="21"/>
  <c r="B206" i="21" s="1"/>
  <c r="D15" i="21"/>
  <c r="L15" i="21"/>
  <c r="E161" i="38" s="1"/>
  <c r="J161" i="38" s="1"/>
  <c r="D19" i="21"/>
  <c r="I175" i="38" s="1"/>
  <c r="I177" i="38" s="1"/>
  <c r="L19" i="21"/>
  <c r="E162" i="38" s="1"/>
  <c r="K162" i="38" s="1"/>
  <c r="D43" i="21"/>
  <c r="D249" i="21" s="1"/>
  <c r="L43" i="21"/>
  <c r="E164" i="38" s="1"/>
  <c r="L164" i="38" s="1"/>
  <c r="G46" i="21"/>
  <c r="K46" i="21" s="1"/>
  <c r="L252" i="21" s="1"/>
  <c r="G47" i="21"/>
  <c r="H253" i="21" s="1"/>
  <c r="B207" i="21"/>
  <c r="B211" i="21"/>
  <c r="C211" i="21"/>
  <c r="D211" i="21"/>
  <c r="E211" i="21"/>
  <c r="F211" i="21"/>
  <c r="G211" i="21"/>
  <c r="H211" i="21"/>
  <c r="I211" i="21"/>
  <c r="K211" i="21"/>
  <c r="L211" i="21"/>
  <c r="B213" i="21"/>
  <c r="C213" i="21"/>
  <c r="D213" i="21"/>
  <c r="E213" i="21"/>
  <c r="F213" i="21"/>
  <c r="H213" i="21"/>
  <c r="I213" i="21"/>
  <c r="C214" i="21"/>
  <c r="D214" i="21"/>
  <c r="G214" i="21"/>
  <c r="I214" i="21"/>
  <c r="B215" i="21"/>
  <c r="C215" i="21"/>
  <c r="D215" i="21"/>
  <c r="E215" i="21"/>
  <c r="F215" i="21"/>
  <c r="G215" i="21"/>
  <c r="H215" i="21"/>
  <c r="I215" i="21"/>
  <c r="J215" i="21"/>
  <c r="K215" i="21"/>
  <c r="L215" i="21"/>
  <c r="B216" i="21"/>
  <c r="C216" i="21"/>
  <c r="D216" i="21"/>
  <c r="E216" i="21"/>
  <c r="F216" i="21"/>
  <c r="G216" i="21"/>
  <c r="H216" i="21"/>
  <c r="I216" i="21"/>
  <c r="K216" i="21"/>
  <c r="L216" i="21"/>
  <c r="B217" i="21"/>
  <c r="C217" i="21"/>
  <c r="D217" i="21"/>
  <c r="E217" i="21"/>
  <c r="F217" i="21"/>
  <c r="G217" i="21"/>
  <c r="H217" i="21"/>
  <c r="I217" i="21"/>
  <c r="K217" i="21"/>
  <c r="L217" i="21"/>
  <c r="D218" i="21"/>
  <c r="G218" i="21"/>
  <c r="D219" i="21"/>
  <c r="G219" i="21"/>
  <c r="D220" i="21"/>
  <c r="G220" i="21"/>
  <c r="B222" i="21"/>
  <c r="C222" i="21"/>
  <c r="D222" i="21"/>
  <c r="G222" i="21"/>
  <c r="D223" i="21"/>
  <c r="G223" i="21"/>
  <c r="D224" i="21"/>
  <c r="G224" i="21"/>
  <c r="G225" i="21"/>
  <c r="D226" i="21"/>
  <c r="G226" i="21"/>
  <c r="D227" i="21"/>
  <c r="G227" i="21"/>
  <c r="D228" i="21"/>
  <c r="G228" i="21"/>
  <c r="B229" i="21"/>
  <c r="B230" i="21"/>
  <c r="C230" i="21"/>
  <c r="D230" i="21"/>
  <c r="E230" i="21"/>
  <c r="F230" i="21"/>
  <c r="G230" i="21"/>
  <c r="H230" i="21"/>
  <c r="I230" i="21"/>
  <c r="K230" i="21"/>
  <c r="L230" i="21"/>
  <c r="B231" i="21"/>
  <c r="C231" i="21"/>
  <c r="D231" i="21"/>
  <c r="E231" i="21"/>
  <c r="F231" i="21"/>
  <c r="G231" i="21"/>
  <c r="H231" i="21"/>
  <c r="I231" i="21"/>
  <c r="K231" i="21"/>
  <c r="L231" i="21"/>
  <c r="D232" i="21"/>
  <c r="G232" i="21"/>
  <c r="D233" i="21"/>
  <c r="G233" i="21"/>
  <c r="D234" i="21"/>
  <c r="G234" i="21"/>
  <c r="D235" i="21"/>
  <c r="G235" i="21"/>
  <c r="D236" i="21"/>
  <c r="G236" i="21"/>
  <c r="D237" i="21"/>
  <c r="G237" i="21"/>
  <c r="D238" i="21"/>
  <c r="G238" i="21"/>
  <c r="D239" i="21"/>
  <c r="G239" i="21"/>
  <c r="D240" i="21"/>
  <c r="G240" i="21"/>
  <c r="D241" i="21"/>
  <c r="G241" i="21"/>
  <c r="D242" i="21"/>
  <c r="G242" i="21"/>
  <c r="D243" i="21"/>
  <c r="G243" i="21"/>
  <c r="D244" i="21"/>
  <c r="G244" i="21"/>
  <c r="D245" i="21"/>
  <c r="G245" i="21"/>
  <c r="D246" i="21"/>
  <c r="G246" i="21"/>
  <c r="D247" i="21"/>
  <c r="G247" i="21"/>
  <c r="D248" i="21"/>
  <c r="G248" i="21"/>
  <c r="B249" i="21"/>
  <c r="B250" i="21"/>
  <c r="C250" i="21"/>
  <c r="D250" i="21"/>
  <c r="E250" i="21"/>
  <c r="F250" i="21"/>
  <c r="G250" i="21"/>
  <c r="H250" i="21"/>
  <c r="I250" i="21"/>
  <c r="K250" i="21"/>
  <c r="L250" i="21"/>
  <c r="B251" i="21"/>
  <c r="B252" i="21"/>
  <c r="D252" i="21"/>
  <c r="E252" i="21"/>
  <c r="F252" i="21"/>
  <c r="G252" i="21"/>
  <c r="I252" i="21"/>
  <c r="K252" i="21"/>
  <c r="B253" i="21"/>
  <c r="D253" i="21"/>
  <c r="E253" i="21"/>
  <c r="F253" i="21"/>
  <c r="G253" i="21"/>
  <c r="I253" i="21"/>
  <c r="K253" i="21"/>
  <c r="B254" i="21"/>
  <c r="C254" i="21"/>
  <c r="C255" i="21"/>
  <c r="E1" i="22"/>
  <c r="C204" i="22" s="1"/>
  <c r="E2" i="22"/>
  <c r="C205" i="22" s="1"/>
  <c r="I11" i="22"/>
  <c r="C215" i="22" s="1"/>
  <c r="F12" i="22"/>
  <c r="G12" i="22"/>
  <c r="G216" i="22" s="1"/>
  <c r="H12" i="22"/>
  <c r="I13" i="22"/>
  <c r="E16" i="21" s="1"/>
  <c r="E222" i="21" s="1"/>
  <c r="I14" i="22"/>
  <c r="I15" i="22"/>
  <c r="I219" i="22" s="1"/>
  <c r="E16" i="22"/>
  <c r="E220" i="22" s="1"/>
  <c r="F16" i="22"/>
  <c r="G16" i="22"/>
  <c r="G220" i="22" s="1"/>
  <c r="H16" i="22"/>
  <c r="H220" i="22" s="1"/>
  <c r="I17" i="22"/>
  <c r="D18" i="22"/>
  <c r="I18" i="22"/>
  <c r="I19" i="22"/>
  <c r="C223" i="22" s="1"/>
  <c r="I23" i="22"/>
  <c r="D227" i="22" s="1"/>
  <c r="I24" i="22"/>
  <c r="I228" i="22" s="1"/>
  <c r="I25" i="22"/>
  <c r="E28" i="21" s="1"/>
  <c r="I26" i="22"/>
  <c r="E29" i="21" s="1"/>
  <c r="I27" i="22"/>
  <c r="I28" i="22"/>
  <c r="I29" i="22"/>
  <c r="E32" i="21" s="1"/>
  <c r="I30" i="22"/>
  <c r="C234" i="22" s="1"/>
  <c r="I31" i="22"/>
  <c r="C235" i="22" s="1"/>
  <c r="I32" i="22"/>
  <c r="D236" i="22" s="1"/>
  <c r="I33" i="22"/>
  <c r="E36" i="21" s="1"/>
  <c r="E242" i="21" s="1"/>
  <c r="I34" i="22"/>
  <c r="C238" i="22" s="1"/>
  <c r="I35" i="22"/>
  <c r="D36" i="22"/>
  <c r="I36" i="22"/>
  <c r="E39" i="21" s="1"/>
  <c r="E245" i="21" s="1"/>
  <c r="I37" i="22"/>
  <c r="C241" i="22" s="1"/>
  <c r="D38" i="22"/>
  <c r="I38" i="22"/>
  <c r="E41" i="21" s="1"/>
  <c r="D39" i="22"/>
  <c r="I39" i="22"/>
  <c r="E42" i="21" s="1"/>
  <c r="E248" i="21" s="1"/>
  <c r="E40" i="22"/>
  <c r="E244" i="22" s="1"/>
  <c r="F40" i="22"/>
  <c r="F244" i="22" s="1"/>
  <c r="G40" i="22"/>
  <c r="G244" i="22" s="1"/>
  <c r="H40" i="22"/>
  <c r="H244" i="22" s="1"/>
  <c r="C206" i="22"/>
  <c r="C209" i="22"/>
  <c r="D209" i="22"/>
  <c r="E209" i="22"/>
  <c r="F209" i="22"/>
  <c r="G209" i="22"/>
  <c r="H209" i="22"/>
  <c r="I209" i="22"/>
  <c r="C210" i="22"/>
  <c r="D210" i="22"/>
  <c r="E210" i="22"/>
  <c r="F210" i="22"/>
  <c r="G210" i="22"/>
  <c r="H210" i="22"/>
  <c r="I210" i="22"/>
  <c r="C211" i="22"/>
  <c r="D211" i="22"/>
  <c r="E211" i="22"/>
  <c r="F211" i="22"/>
  <c r="G211" i="22"/>
  <c r="H211" i="22"/>
  <c r="I211" i="22"/>
  <c r="C212" i="22"/>
  <c r="D212" i="22"/>
  <c r="E212" i="22"/>
  <c r="F212" i="22"/>
  <c r="G212" i="22"/>
  <c r="H212" i="22"/>
  <c r="I212" i="22"/>
  <c r="F213" i="22"/>
  <c r="G213" i="22"/>
  <c r="H213" i="22"/>
  <c r="F214" i="22"/>
  <c r="G214" i="22"/>
  <c r="H214" i="22"/>
  <c r="E215" i="22"/>
  <c r="F215" i="22"/>
  <c r="G215" i="22"/>
  <c r="H215" i="22"/>
  <c r="C217" i="22"/>
  <c r="D217" i="22"/>
  <c r="E217" i="22"/>
  <c r="F217" i="22"/>
  <c r="G217" i="22"/>
  <c r="H217" i="22"/>
  <c r="E218" i="22"/>
  <c r="F218" i="22"/>
  <c r="G218" i="22"/>
  <c r="H218" i="22"/>
  <c r="E219" i="22"/>
  <c r="F219" i="22"/>
  <c r="G219" i="22"/>
  <c r="H219" i="22"/>
  <c r="E221" i="22"/>
  <c r="F221" i="22"/>
  <c r="G221" i="22"/>
  <c r="H221" i="22"/>
  <c r="E222" i="22"/>
  <c r="F222" i="22"/>
  <c r="G222" i="22"/>
  <c r="H222" i="22"/>
  <c r="E223" i="22"/>
  <c r="F223" i="22"/>
  <c r="G223" i="22"/>
  <c r="H223" i="22"/>
  <c r="C224" i="22"/>
  <c r="C225" i="22"/>
  <c r="D225" i="22"/>
  <c r="E225" i="22"/>
  <c r="F225" i="22"/>
  <c r="G225" i="22"/>
  <c r="H225" i="22"/>
  <c r="I225" i="22"/>
  <c r="C226" i="22"/>
  <c r="D226" i="22"/>
  <c r="E226" i="22"/>
  <c r="F226" i="22"/>
  <c r="G226" i="22"/>
  <c r="H226" i="22"/>
  <c r="I226" i="22"/>
  <c r="E227" i="22"/>
  <c r="F227" i="22"/>
  <c r="G227" i="22"/>
  <c r="H227" i="22"/>
  <c r="E228" i="22"/>
  <c r="F228" i="22"/>
  <c r="G228" i="22"/>
  <c r="H228" i="22"/>
  <c r="E229" i="22"/>
  <c r="F229" i="22"/>
  <c r="G229" i="22"/>
  <c r="H229" i="22"/>
  <c r="E230" i="22"/>
  <c r="F230" i="22"/>
  <c r="G230" i="22"/>
  <c r="H230" i="22"/>
  <c r="E231" i="22"/>
  <c r="F231" i="22"/>
  <c r="G231" i="22"/>
  <c r="H231" i="22"/>
  <c r="E232" i="22"/>
  <c r="F232" i="22"/>
  <c r="G232" i="22"/>
  <c r="H232" i="22"/>
  <c r="E233" i="22"/>
  <c r="F233" i="22"/>
  <c r="G233" i="22"/>
  <c r="H233" i="22"/>
  <c r="E234" i="22"/>
  <c r="F234" i="22"/>
  <c r="G234" i="22"/>
  <c r="H234" i="22"/>
  <c r="E235" i="22"/>
  <c r="F235" i="22"/>
  <c r="G235" i="22"/>
  <c r="H235" i="22"/>
  <c r="E236" i="22"/>
  <c r="F236" i="22"/>
  <c r="G236" i="22"/>
  <c r="H236" i="22"/>
  <c r="E237" i="22"/>
  <c r="F237" i="22"/>
  <c r="G237" i="22"/>
  <c r="H237" i="22"/>
  <c r="E238" i="22"/>
  <c r="F238" i="22"/>
  <c r="G238" i="22"/>
  <c r="H238" i="22"/>
  <c r="E239" i="22"/>
  <c r="F239" i="22"/>
  <c r="G239" i="22"/>
  <c r="H239" i="22"/>
  <c r="E240" i="22"/>
  <c r="F240" i="22"/>
  <c r="G240" i="22"/>
  <c r="H240" i="22"/>
  <c r="E241" i="22"/>
  <c r="F241" i="22"/>
  <c r="G241" i="22"/>
  <c r="H241" i="22"/>
  <c r="E242" i="22"/>
  <c r="F242" i="22"/>
  <c r="G242" i="22"/>
  <c r="H242" i="22"/>
  <c r="E243" i="22"/>
  <c r="F243" i="22"/>
  <c r="G243" i="22"/>
  <c r="H243" i="22"/>
  <c r="C244" i="22"/>
  <c r="C245" i="22"/>
  <c r="D245" i="22"/>
  <c r="E245" i="22"/>
  <c r="F245" i="22"/>
  <c r="G245" i="22"/>
  <c r="H245" i="22"/>
  <c r="I245" i="22"/>
  <c r="C246" i="22"/>
  <c r="D247" i="22"/>
  <c r="E1" i="23"/>
  <c r="D203" i="23" s="1"/>
  <c r="E2" i="23"/>
  <c r="D204" i="23" s="1"/>
  <c r="K9" i="23"/>
  <c r="C214" i="23" s="1"/>
  <c r="K10" i="23"/>
  <c r="K11" i="23"/>
  <c r="E12" i="23"/>
  <c r="E217" i="23" s="1"/>
  <c r="F12" i="23"/>
  <c r="E168" i="38" s="1"/>
  <c r="G12" i="23"/>
  <c r="H12" i="23"/>
  <c r="E166" i="38" s="1"/>
  <c r="I12" i="23"/>
  <c r="I217" i="23" s="1"/>
  <c r="J12" i="23"/>
  <c r="I47" i="38" s="1"/>
  <c r="K13" i="23"/>
  <c r="K14" i="23"/>
  <c r="K15" i="23"/>
  <c r="E16" i="23"/>
  <c r="E221" i="23" s="1"/>
  <c r="F16" i="23"/>
  <c r="F221" i="23" s="1"/>
  <c r="G16" i="23"/>
  <c r="H16" i="23"/>
  <c r="H221" i="23" s="1"/>
  <c r="I16" i="23"/>
  <c r="I221" i="23" s="1"/>
  <c r="J16" i="23"/>
  <c r="J221" i="23" s="1"/>
  <c r="K17" i="23"/>
  <c r="D18" i="23"/>
  <c r="K18" i="23"/>
  <c r="F21" i="21" s="1"/>
  <c r="K19" i="23"/>
  <c r="C224" i="23" s="1"/>
  <c r="K23" i="23"/>
  <c r="D228" i="23" s="1"/>
  <c r="K24" i="23"/>
  <c r="F27" i="21" s="1"/>
  <c r="F233" i="21" s="1"/>
  <c r="K25" i="23"/>
  <c r="D230" i="23" s="1"/>
  <c r="K26" i="23"/>
  <c r="D231" i="23" s="1"/>
  <c r="K27" i="23"/>
  <c r="K232" i="23" s="1"/>
  <c r="K28" i="23"/>
  <c r="C233" i="23" s="1"/>
  <c r="K29" i="23"/>
  <c r="F32" i="21" s="1"/>
  <c r="F238" i="21" s="1"/>
  <c r="K30" i="23"/>
  <c r="K31" i="23"/>
  <c r="C236" i="23" s="1"/>
  <c r="K32" i="23"/>
  <c r="F35" i="21" s="1"/>
  <c r="F241" i="21" s="1"/>
  <c r="K33" i="23"/>
  <c r="D238" i="23" s="1"/>
  <c r="K34" i="23"/>
  <c r="D239" i="23" s="1"/>
  <c r="K35" i="23"/>
  <c r="D240" i="23" s="1"/>
  <c r="K36" i="23"/>
  <c r="F39" i="21" s="1"/>
  <c r="F245" i="21" s="1"/>
  <c r="K37" i="23"/>
  <c r="K242" i="23" s="1"/>
  <c r="D38" i="23"/>
  <c r="K38" i="23"/>
  <c r="K243" i="23" s="1"/>
  <c r="D39" i="23"/>
  <c r="K39" i="23"/>
  <c r="E40" i="23"/>
  <c r="F40" i="23"/>
  <c r="F245" i="23" s="1"/>
  <c r="G40" i="23"/>
  <c r="G245" i="23" s="1"/>
  <c r="H40" i="23"/>
  <c r="H245" i="23" s="1"/>
  <c r="I40" i="23"/>
  <c r="I245" i="23" s="1"/>
  <c r="J40" i="23"/>
  <c r="J245" i="23" s="1"/>
  <c r="D205" i="23"/>
  <c r="C210" i="23"/>
  <c r="D210" i="23"/>
  <c r="E210" i="23"/>
  <c r="F210" i="23"/>
  <c r="G210" i="23"/>
  <c r="H210" i="23"/>
  <c r="I210" i="23"/>
  <c r="J210" i="23"/>
  <c r="K210" i="23"/>
  <c r="C211" i="23"/>
  <c r="D211" i="23"/>
  <c r="E211" i="23"/>
  <c r="F211" i="23"/>
  <c r="G211" i="23"/>
  <c r="H211" i="23"/>
  <c r="I211" i="23"/>
  <c r="J211" i="23"/>
  <c r="K211" i="23"/>
  <c r="C212" i="23"/>
  <c r="D212" i="23"/>
  <c r="E212" i="23"/>
  <c r="F212" i="23"/>
  <c r="G212" i="23"/>
  <c r="H212" i="23"/>
  <c r="I212" i="23"/>
  <c r="J212" i="23"/>
  <c r="K212" i="23"/>
  <c r="C213" i="23"/>
  <c r="D213" i="23"/>
  <c r="E213" i="23"/>
  <c r="F213" i="23"/>
  <c r="G213" i="23"/>
  <c r="H213" i="23"/>
  <c r="I213" i="23"/>
  <c r="J213" i="23"/>
  <c r="K213" i="23"/>
  <c r="E214" i="23"/>
  <c r="F214" i="23"/>
  <c r="G214" i="23"/>
  <c r="H214" i="23"/>
  <c r="I214" i="23"/>
  <c r="J214" i="23"/>
  <c r="E215" i="23"/>
  <c r="F215" i="23"/>
  <c r="G215" i="23"/>
  <c r="H215" i="23"/>
  <c r="I215" i="23"/>
  <c r="J215" i="23"/>
  <c r="E216" i="23"/>
  <c r="F216" i="23"/>
  <c r="G216" i="23"/>
  <c r="H216" i="23"/>
  <c r="I216" i="23"/>
  <c r="J216" i="23"/>
  <c r="C218" i="23"/>
  <c r="D218" i="23"/>
  <c r="E218" i="23"/>
  <c r="F218" i="23"/>
  <c r="G218" i="23"/>
  <c r="H218" i="23"/>
  <c r="I218" i="23"/>
  <c r="J218" i="23"/>
  <c r="E219" i="23"/>
  <c r="F219" i="23"/>
  <c r="G219" i="23"/>
  <c r="H219" i="23"/>
  <c r="I219" i="23"/>
  <c r="J219" i="23"/>
  <c r="D220" i="23"/>
  <c r="E220" i="23"/>
  <c r="F220" i="23"/>
  <c r="G220" i="23"/>
  <c r="H220" i="23"/>
  <c r="I220" i="23"/>
  <c r="J220" i="23"/>
  <c r="E222" i="23"/>
  <c r="F222" i="23"/>
  <c r="G222" i="23"/>
  <c r="H222" i="23"/>
  <c r="I222" i="23"/>
  <c r="J222" i="23"/>
  <c r="E223" i="23"/>
  <c r="F223" i="23"/>
  <c r="G223" i="23"/>
  <c r="H223" i="23"/>
  <c r="I223" i="23"/>
  <c r="J223" i="23"/>
  <c r="E224" i="23"/>
  <c r="F224" i="23"/>
  <c r="G224" i="23"/>
  <c r="H224" i="23"/>
  <c r="I224" i="23"/>
  <c r="J224" i="23"/>
  <c r="C225" i="23"/>
  <c r="C226" i="23"/>
  <c r="D226" i="23"/>
  <c r="E226" i="23"/>
  <c r="F226" i="23"/>
  <c r="G226" i="23"/>
  <c r="H226" i="23"/>
  <c r="I226" i="23"/>
  <c r="J226" i="23"/>
  <c r="K226" i="23"/>
  <c r="C227" i="23"/>
  <c r="D227" i="23"/>
  <c r="E227" i="23"/>
  <c r="F227" i="23"/>
  <c r="G227" i="23"/>
  <c r="H227" i="23"/>
  <c r="I227" i="23"/>
  <c r="J227" i="23"/>
  <c r="K227" i="23"/>
  <c r="E228" i="23"/>
  <c r="F228" i="23"/>
  <c r="G228" i="23"/>
  <c r="H228" i="23"/>
  <c r="I228" i="23"/>
  <c r="J228" i="23"/>
  <c r="E229" i="23"/>
  <c r="F229" i="23"/>
  <c r="G229" i="23"/>
  <c r="H229" i="23"/>
  <c r="I229" i="23"/>
  <c r="J229" i="23"/>
  <c r="E230" i="23"/>
  <c r="F230" i="23"/>
  <c r="G230" i="23"/>
  <c r="H230" i="23"/>
  <c r="I230" i="23"/>
  <c r="J230" i="23"/>
  <c r="E231" i="23"/>
  <c r="F231" i="23"/>
  <c r="G231" i="23"/>
  <c r="H231" i="23"/>
  <c r="I231" i="23"/>
  <c r="J231" i="23"/>
  <c r="E232" i="23"/>
  <c r="F232" i="23"/>
  <c r="G232" i="23"/>
  <c r="H232" i="23"/>
  <c r="I232" i="23"/>
  <c r="J232" i="23"/>
  <c r="E233" i="23"/>
  <c r="F233" i="23"/>
  <c r="G233" i="23"/>
  <c r="H233" i="23"/>
  <c r="I233" i="23"/>
  <c r="J233" i="23"/>
  <c r="E234" i="23"/>
  <c r="F234" i="23"/>
  <c r="G234" i="23"/>
  <c r="H234" i="23"/>
  <c r="I234" i="23"/>
  <c r="J234" i="23"/>
  <c r="E235" i="23"/>
  <c r="F235" i="23"/>
  <c r="G235" i="23"/>
  <c r="H235" i="23"/>
  <c r="I235" i="23"/>
  <c r="J235" i="23"/>
  <c r="E236" i="23"/>
  <c r="F236" i="23"/>
  <c r="G236" i="23"/>
  <c r="H236" i="23"/>
  <c r="I236" i="23"/>
  <c r="J236" i="23"/>
  <c r="E237" i="23"/>
  <c r="F237" i="23"/>
  <c r="G237" i="23"/>
  <c r="H237" i="23"/>
  <c r="I237" i="23"/>
  <c r="J237" i="23"/>
  <c r="E238" i="23"/>
  <c r="F238" i="23"/>
  <c r="G238" i="23"/>
  <c r="H238" i="23"/>
  <c r="I238" i="23"/>
  <c r="J238" i="23"/>
  <c r="E239" i="23"/>
  <c r="F239" i="23"/>
  <c r="G239" i="23"/>
  <c r="H239" i="23"/>
  <c r="I239" i="23"/>
  <c r="J239" i="23"/>
  <c r="E240" i="23"/>
  <c r="F240" i="23"/>
  <c r="G240" i="23"/>
  <c r="H240" i="23"/>
  <c r="I240" i="23"/>
  <c r="J240" i="23"/>
  <c r="E241" i="23"/>
  <c r="F241" i="23"/>
  <c r="G241" i="23"/>
  <c r="H241" i="23"/>
  <c r="I241" i="23"/>
  <c r="J241" i="23"/>
  <c r="E242" i="23"/>
  <c r="F242" i="23"/>
  <c r="G242" i="23"/>
  <c r="H242" i="23"/>
  <c r="I242" i="23"/>
  <c r="J242" i="23"/>
  <c r="E243" i="23"/>
  <c r="F243" i="23"/>
  <c r="G243" i="23"/>
  <c r="H243" i="23"/>
  <c r="I243" i="23"/>
  <c r="J243" i="23"/>
  <c r="E244" i="23"/>
  <c r="F244" i="23"/>
  <c r="G244" i="23"/>
  <c r="H244" i="23"/>
  <c r="I244" i="23"/>
  <c r="J244" i="23"/>
  <c r="C245" i="23"/>
  <c r="C246" i="23"/>
  <c r="D246" i="23"/>
  <c r="E246" i="23"/>
  <c r="F246" i="23"/>
  <c r="G246" i="23"/>
  <c r="H246" i="23"/>
  <c r="I246" i="23"/>
  <c r="J246" i="23"/>
  <c r="K246" i="23"/>
  <c r="C247" i="23"/>
  <c r="C248" i="23"/>
  <c r="D248" i="23"/>
  <c r="E248" i="23"/>
  <c r="F248" i="23"/>
  <c r="G248" i="23"/>
  <c r="H248" i="23"/>
  <c r="I248" i="23"/>
  <c r="J248" i="23"/>
  <c r="K248" i="23"/>
  <c r="D1" i="24"/>
  <c r="B203" i="24" s="1"/>
  <c r="D2" i="24"/>
  <c r="B204" i="24" s="1"/>
  <c r="J9" i="24"/>
  <c r="H12" i="21" s="1"/>
  <c r="J10" i="24"/>
  <c r="H13" i="21" s="1"/>
  <c r="I219" i="21" s="1"/>
  <c r="J11" i="24"/>
  <c r="C213" i="24" s="1"/>
  <c r="D12" i="24"/>
  <c r="D214" i="24" s="1"/>
  <c r="E12" i="24"/>
  <c r="E214" i="24" s="1"/>
  <c r="F12" i="24"/>
  <c r="J13" i="24"/>
  <c r="J215" i="24" s="1"/>
  <c r="J14" i="24"/>
  <c r="J15" i="24"/>
  <c r="J217" i="24" s="1"/>
  <c r="D16" i="24"/>
  <c r="D218" i="24" s="1"/>
  <c r="E16" i="24"/>
  <c r="F16" i="24"/>
  <c r="J17" i="24"/>
  <c r="C18" i="24"/>
  <c r="J18" i="24"/>
  <c r="B220" i="24" s="1"/>
  <c r="J19" i="24"/>
  <c r="J221" i="24" s="1"/>
  <c r="J23" i="24"/>
  <c r="H26" i="21" s="1"/>
  <c r="I232" i="21" s="1"/>
  <c r="J24" i="24"/>
  <c r="J226" i="24" s="1"/>
  <c r="J25" i="24"/>
  <c r="J227" i="24" s="1"/>
  <c r="J26" i="24"/>
  <c r="J27" i="24"/>
  <c r="H30" i="21" s="1"/>
  <c r="I236" i="21" s="1"/>
  <c r="J28" i="24"/>
  <c r="J230" i="24" s="1"/>
  <c r="J29" i="24"/>
  <c r="J30" i="24"/>
  <c r="H33" i="21" s="1"/>
  <c r="E126" i="38" s="1"/>
  <c r="J31" i="24"/>
  <c r="C233" i="24" s="1"/>
  <c r="J32" i="24"/>
  <c r="H35" i="21" s="1"/>
  <c r="I241" i="21" s="1"/>
  <c r="J33" i="24"/>
  <c r="H36" i="21" s="1"/>
  <c r="I242" i="21" s="1"/>
  <c r="J34" i="24"/>
  <c r="B236" i="24" s="1"/>
  <c r="J35" i="24"/>
  <c r="H38" i="21" s="1"/>
  <c r="I244" i="21" s="1"/>
  <c r="J36" i="24"/>
  <c r="J238" i="24" s="1"/>
  <c r="J37" i="24"/>
  <c r="C38" i="24"/>
  <c r="J38" i="24"/>
  <c r="H41" i="21" s="1"/>
  <c r="I247" i="21" s="1"/>
  <c r="C39" i="24"/>
  <c r="J39" i="24"/>
  <c r="H42" i="21" s="1"/>
  <c r="I248" i="21" s="1"/>
  <c r="D40" i="24"/>
  <c r="D242" i="24" s="1"/>
  <c r="E40" i="24"/>
  <c r="E242" i="24" s="1"/>
  <c r="F40" i="24"/>
  <c r="F242" i="24" s="1"/>
  <c r="B205" i="24"/>
  <c r="B207" i="24"/>
  <c r="C207" i="24"/>
  <c r="D207" i="24"/>
  <c r="F207" i="24"/>
  <c r="J207" i="24"/>
  <c r="B208" i="24"/>
  <c r="C208" i="24"/>
  <c r="D208" i="24"/>
  <c r="E208" i="24"/>
  <c r="F208" i="24"/>
  <c r="G208" i="24"/>
  <c r="H208" i="24"/>
  <c r="I208" i="24"/>
  <c r="J208" i="24"/>
  <c r="B209" i="24"/>
  <c r="C209" i="24"/>
  <c r="D209" i="24"/>
  <c r="E209" i="24"/>
  <c r="F209" i="24"/>
  <c r="G209" i="24"/>
  <c r="H209" i="24"/>
  <c r="I209" i="24"/>
  <c r="J209" i="24"/>
  <c r="B210" i="24"/>
  <c r="C210" i="24"/>
  <c r="D210" i="24"/>
  <c r="E210" i="24"/>
  <c r="F210" i="24"/>
  <c r="G210" i="24"/>
  <c r="H210" i="24"/>
  <c r="I210" i="24"/>
  <c r="J210" i="24"/>
  <c r="D211" i="24"/>
  <c r="E211" i="24"/>
  <c r="F211" i="24"/>
  <c r="G211" i="24"/>
  <c r="H211" i="24"/>
  <c r="I211" i="24"/>
  <c r="D212" i="24"/>
  <c r="E212" i="24"/>
  <c r="F212" i="24"/>
  <c r="G212" i="24"/>
  <c r="H212" i="24"/>
  <c r="I212" i="24"/>
  <c r="D213" i="24"/>
  <c r="E213" i="24"/>
  <c r="F213" i="24"/>
  <c r="G213" i="24"/>
  <c r="H213" i="24"/>
  <c r="I213" i="24"/>
  <c r="G214" i="24"/>
  <c r="H214" i="24"/>
  <c r="I214" i="24"/>
  <c r="B215" i="24"/>
  <c r="C215" i="24"/>
  <c r="D215" i="24"/>
  <c r="E215" i="24"/>
  <c r="F215" i="24"/>
  <c r="G215" i="24"/>
  <c r="H215" i="24"/>
  <c r="I215" i="24"/>
  <c r="D216" i="24"/>
  <c r="E216" i="24"/>
  <c r="F216" i="24"/>
  <c r="G216" i="24"/>
  <c r="H216" i="24"/>
  <c r="I216" i="24"/>
  <c r="D217" i="24"/>
  <c r="E217" i="24"/>
  <c r="F217" i="24"/>
  <c r="G217" i="24"/>
  <c r="H217" i="24"/>
  <c r="I217" i="24"/>
  <c r="G218" i="24"/>
  <c r="H218" i="24"/>
  <c r="I218" i="24"/>
  <c r="D219" i="24"/>
  <c r="E219" i="24"/>
  <c r="F219" i="24"/>
  <c r="G219" i="24"/>
  <c r="H219" i="24"/>
  <c r="I219" i="24"/>
  <c r="D220" i="24"/>
  <c r="E220" i="24"/>
  <c r="F220" i="24"/>
  <c r="G220" i="24"/>
  <c r="H220" i="24"/>
  <c r="I220" i="24"/>
  <c r="D221" i="24"/>
  <c r="E221" i="24"/>
  <c r="F221" i="24"/>
  <c r="G221" i="24"/>
  <c r="H221" i="24"/>
  <c r="I221" i="24"/>
  <c r="B222" i="24"/>
  <c r="G222" i="24"/>
  <c r="H222" i="24"/>
  <c r="I222" i="24"/>
  <c r="B223" i="24"/>
  <c r="C223" i="24"/>
  <c r="D223" i="24"/>
  <c r="E223" i="24"/>
  <c r="F223" i="24"/>
  <c r="G223" i="24"/>
  <c r="H223" i="24"/>
  <c r="I223" i="24"/>
  <c r="J223" i="24"/>
  <c r="B224" i="24"/>
  <c r="C224" i="24"/>
  <c r="D224" i="24"/>
  <c r="E224" i="24"/>
  <c r="F224" i="24"/>
  <c r="G224" i="24"/>
  <c r="H224" i="24"/>
  <c r="I224" i="24"/>
  <c r="J224" i="24"/>
  <c r="D225" i="24"/>
  <c r="E225" i="24"/>
  <c r="F225" i="24"/>
  <c r="G225" i="24"/>
  <c r="H225" i="24"/>
  <c r="I225" i="24"/>
  <c r="D226" i="24"/>
  <c r="E226" i="24"/>
  <c r="F226" i="24"/>
  <c r="G226" i="24"/>
  <c r="H226" i="24"/>
  <c r="I226" i="24"/>
  <c r="D227" i="24"/>
  <c r="E227" i="24"/>
  <c r="F227" i="24"/>
  <c r="G227" i="24"/>
  <c r="H227" i="24"/>
  <c r="I227" i="24"/>
  <c r="D228" i="24"/>
  <c r="E228" i="24"/>
  <c r="F228" i="24"/>
  <c r="G228" i="24"/>
  <c r="H228" i="24"/>
  <c r="I228" i="24"/>
  <c r="D229" i="24"/>
  <c r="E229" i="24"/>
  <c r="F229" i="24"/>
  <c r="G229" i="24"/>
  <c r="H229" i="24"/>
  <c r="I229" i="24"/>
  <c r="D230" i="24"/>
  <c r="E230" i="24"/>
  <c r="F230" i="24"/>
  <c r="G230" i="24"/>
  <c r="H230" i="24"/>
  <c r="I230" i="24"/>
  <c r="D231" i="24"/>
  <c r="E231" i="24"/>
  <c r="F231" i="24"/>
  <c r="G231" i="24"/>
  <c r="H231" i="24"/>
  <c r="I231" i="24"/>
  <c r="D232" i="24"/>
  <c r="E232" i="24"/>
  <c r="F232" i="24"/>
  <c r="G232" i="24"/>
  <c r="H232" i="24"/>
  <c r="I232" i="24"/>
  <c r="D233" i="24"/>
  <c r="E233" i="24"/>
  <c r="F233" i="24"/>
  <c r="G233" i="24"/>
  <c r="H233" i="24"/>
  <c r="I233" i="24"/>
  <c r="D234" i="24"/>
  <c r="E234" i="24"/>
  <c r="F234" i="24"/>
  <c r="G234" i="24"/>
  <c r="H234" i="24"/>
  <c r="I234" i="24"/>
  <c r="D235" i="24"/>
  <c r="E235" i="24"/>
  <c r="F235" i="24"/>
  <c r="G235" i="24"/>
  <c r="H235" i="24"/>
  <c r="I235" i="24"/>
  <c r="D236" i="24"/>
  <c r="E236" i="24"/>
  <c r="F236" i="24"/>
  <c r="G236" i="24"/>
  <c r="H236" i="24"/>
  <c r="I236" i="24"/>
  <c r="D237" i="24"/>
  <c r="E237" i="24"/>
  <c r="F237" i="24"/>
  <c r="G237" i="24"/>
  <c r="H237" i="24"/>
  <c r="I237" i="24"/>
  <c r="D238" i="24"/>
  <c r="E238" i="24"/>
  <c r="F238" i="24"/>
  <c r="G238" i="24"/>
  <c r="H238" i="24"/>
  <c r="I238" i="24"/>
  <c r="D239" i="24"/>
  <c r="E239" i="24"/>
  <c r="F239" i="24"/>
  <c r="G239" i="24"/>
  <c r="H239" i="24"/>
  <c r="I239" i="24"/>
  <c r="D240" i="24"/>
  <c r="E240" i="24"/>
  <c r="F240" i="24"/>
  <c r="G240" i="24"/>
  <c r="H240" i="24"/>
  <c r="I240" i="24"/>
  <c r="D241" i="24"/>
  <c r="E241" i="24"/>
  <c r="F241" i="24"/>
  <c r="G241" i="24"/>
  <c r="H241" i="24"/>
  <c r="I241" i="24"/>
  <c r="B242" i="24"/>
  <c r="G242" i="24"/>
  <c r="H242" i="24"/>
  <c r="I242" i="24"/>
  <c r="B243" i="24"/>
  <c r="C243" i="24"/>
  <c r="D243" i="24"/>
  <c r="E243" i="24"/>
  <c r="F243" i="24"/>
  <c r="G243" i="24"/>
  <c r="H243" i="24"/>
  <c r="I243" i="24"/>
  <c r="J243" i="24"/>
  <c r="B244" i="24"/>
  <c r="G244" i="24"/>
  <c r="H244" i="24"/>
  <c r="I244" i="24"/>
  <c r="B245" i="24"/>
  <c r="C245" i="24"/>
  <c r="D245" i="24"/>
  <c r="E245" i="24"/>
  <c r="F245" i="24"/>
  <c r="G245" i="24"/>
  <c r="H245" i="24"/>
  <c r="I245" i="24"/>
  <c r="J245" i="24"/>
  <c r="D1" i="50"/>
  <c r="B197" i="50" s="1"/>
  <c r="C2" i="50"/>
  <c r="B198" i="50" s="1"/>
  <c r="D3" i="50"/>
  <c r="B199" i="50" s="1"/>
  <c r="D6" i="50"/>
  <c r="D204" i="50" s="1"/>
  <c r="H6" i="50"/>
  <c r="H204" i="50" s="1"/>
  <c r="F15" i="50"/>
  <c r="F36" i="50" s="1"/>
  <c r="F233" i="50" s="1"/>
  <c r="J15" i="50"/>
  <c r="J212" i="50" s="1"/>
  <c r="F25" i="50"/>
  <c r="Q93" i="33" s="1"/>
  <c r="J25" i="50"/>
  <c r="F30" i="50"/>
  <c r="F227" i="50" s="1"/>
  <c r="J30" i="50"/>
  <c r="S92" i="33" s="1"/>
  <c r="H47" i="50"/>
  <c r="H244" i="50" s="1"/>
  <c r="J47" i="50"/>
  <c r="J48" i="50" s="1"/>
  <c r="J245" i="50" s="1"/>
  <c r="B203" i="50"/>
  <c r="C203" i="50"/>
  <c r="D203" i="50"/>
  <c r="G203" i="50"/>
  <c r="H203" i="50"/>
  <c r="C204" i="50"/>
  <c r="E204" i="50"/>
  <c r="G204" i="50"/>
  <c r="I204" i="50"/>
  <c r="A205" i="50"/>
  <c r="B205" i="50"/>
  <c r="C205" i="50"/>
  <c r="D205" i="50"/>
  <c r="E205" i="50"/>
  <c r="F205" i="50"/>
  <c r="G205" i="50"/>
  <c r="H205" i="50"/>
  <c r="I205" i="50"/>
  <c r="J205" i="50"/>
  <c r="A206" i="50"/>
  <c r="C206" i="50"/>
  <c r="E206" i="50"/>
  <c r="F206" i="50"/>
  <c r="G206" i="50"/>
  <c r="I206" i="50"/>
  <c r="J206" i="50"/>
  <c r="A207" i="50"/>
  <c r="B207" i="50"/>
  <c r="C207" i="50"/>
  <c r="D207" i="50"/>
  <c r="E207" i="50"/>
  <c r="F207" i="50"/>
  <c r="G207" i="50"/>
  <c r="H207" i="50"/>
  <c r="I207" i="50"/>
  <c r="J207" i="50"/>
  <c r="A208" i="50"/>
  <c r="B208" i="50"/>
  <c r="C208" i="50"/>
  <c r="D208" i="50"/>
  <c r="E208" i="50"/>
  <c r="F208" i="50"/>
  <c r="G208" i="50"/>
  <c r="H208" i="50"/>
  <c r="I208" i="50"/>
  <c r="J208" i="50"/>
  <c r="A209" i="50"/>
  <c r="B209" i="50"/>
  <c r="C209" i="50"/>
  <c r="D209" i="50"/>
  <c r="E209" i="50"/>
  <c r="F209" i="50"/>
  <c r="G209" i="50"/>
  <c r="H209" i="50"/>
  <c r="I209" i="50"/>
  <c r="J209" i="50"/>
  <c r="A210" i="50"/>
  <c r="C210" i="50"/>
  <c r="E210" i="50"/>
  <c r="F210" i="50"/>
  <c r="G210" i="50"/>
  <c r="I210" i="50"/>
  <c r="J210" i="50"/>
  <c r="A211" i="50"/>
  <c r="B211" i="50"/>
  <c r="C211" i="50"/>
  <c r="D211" i="50"/>
  <c r="E211" i="50"/>
  <c r="F211" i="50"/>
  <c r="G211" i="50"/>
  <c r="H211" i="50"/>
  <c r="I211" i="50"/>
  <c r="J211" i="50"/>
  <c r="A212" i="50"/>
  <c r="C212" i="50"/>
  <c r="E212" i="50"/>
  <c r="G212" i="50"/>
  <c r="I212" i="50"/>
  <c r="A213" i="50"/>
  <c r="C213" i="50"/>
  <c r="E213" i="50"/>
  <c r="F213" i="50"/>
  <c r="G213" i="50"/>
  <c r="I213" i="50"/>
  <c r="J213" i="50"/>
  <c r="A214" i="50"/>
  <c r="C214" i="50"/>
  <c r="E214" i="50"/>
  <c r="G214" i="50"/>
  <c r="I214" i="50"/>
  <c r="A215" i="50"/>
  <c r="B215" i="50"/>
  <c r="C215" i="50"/>
  <c r="D215" i="50"/>
  <c r="E215" i="50"/>
  <c r="F215" i="50"/>
  <c r="G215" i="50"/>
  <c r="H215" i="50"/>
  <c r="I215" i="50"/>
  <c r="J215" i="50"/>
  <c r="A216" i="50"/>
  <c r="B216" i="50"/>
  <c r="C216" i="50"/>
  <c r="D216" i="50"/>
  <c r="E216" i="50"/>
  <c r="F216" i="50"/>
  <c r="G216" i="50"/>
  <c r="H216" i="50"/>
  <c r="I216" i="50"/>
  <c r="J216" i="50"/>
  <c r="A217" i="50"/>
  <c r="C217" i="50"/>
  <c r="E217" i="50"/>
  <c r="F217" i="50"/>
  <c r="G217" i="50"/>
  <c r="I217" i="50"/>
  <c r="J217" i="50"/>
  <c r="A218" i="50"/>
  <c r="B218" i="50"/>
  <c r="C218" i="50"/>
  <c r="D218" i="50"/>
  <c r="E218" i="50"/>
  <c r="F218" i="50"/>
  <c r="G218" i="50"/>
  <c r="H218" i="50"/>
  <c r="I218" i="50"/>
  <c r="J218" i="50"/>
  <c r="A219" i="50"/>
  <c r="B219" i="50"/>
  <c r="C219" i="50"/>
  <c r="D219" i="50"/>
  <c r="E219" i="50"/>
  <c r="F219" i="50"/>
  <c r="G219" i="50"/>
  <c r="H219" i="50"/>
  <c r="I219" i="50"/>
  <c r="J219" i="50"/>
  <c r="A220" i="50"/>
  <c r="C220" i="50"/>
  <c r="E220" i="50"/>
  <c r="F220" i="50"/>
  <c r="G220" i="50"/>
  <c r="I220" i="50"/>
  <c r="J220" i="50"/>
  <c r="A221" i="50"/>
  <c r="B221" i="50"/>
  <c r="C221" i="50"/>
  <c r="D221" i="50"/>
  <c r="E221" i="50"/>
  <c r="F221" i="50"/>
  <c r="G221" i="50"/>
  <c r="H221" i="50"/>
  <c r="I221" i="50"/>
  <c r="J221" i="50"/>
  <c r="A222" i="50"/>
  <c r="C222" i="50"/>
  <c r="E222" i="50"/>
  <c r="G222" i="50"/>
  <c r="I222" i="50"/>
  <c r="A223" i="50"/>
  <c r="B223" i="50"/>
  <c r="C223" i="50"/>
  <c r="D223" i="50"/>
  <c r="E223" i="50"/>
  <c r="F223" i="50"/>
  <c r="G223" i="50"/>
  <c r="H223" i="50"/>
  <c r="I223" i="50"/>
  <c r="J223" i="50"/>
  <c r="A224" i="50"/>
  <c r="B224" i="50"/>
  <c r="C224" i="50"/>
  <c r="D224" i="50"/>
  <c r="E224" i="50"/>
  <c r="F224" i="50"/>
  <c r="G224" i="50"/>
  <c r="H224" i="50"/>
  <c r="I224" i="50"/>
  <c r="J224" i="50"/>
  <c r="A226" i="50"/>
  <c r="C226" i="50"/>
  <c r="E226" i="50"/>
  <c r="F226" i="50"/>
  <c r="G226" i="50"/>
  <c r="I226" i="50"/>
  <c r="J226" i="50"/>
  <c r="A227" i="50"/>
  <c r="C227" i="50"/>
  <c r="E227" i="50"/>
  <c r="G227" i="50"/>
  <c r="I227" i="50"/>
  <c r="A228" i="50"/>
  <c r="B228" i="50"/>
  <c r="C228" i="50"/>
  <c r="D228" i="50"/>
  <c r="E228" i="50"/>
  <c r="F228" i="50"/>
  <c r="G228" i="50"/>
  <c r="H228" i="50"/>
  <c r="I228" i="50"/>
  <c r="J228" i="50"/>
  <c r="A229" i="50"/>
  <c r="C229" i="50"/>
  <c r="E229" i="50"/>
  <c r="G229" i="50"/>
  <c r="I229" i="50"/>
  <c r="A230" i="50"/>
  <c r="B230" i="50"/>
  <c r="C230" i="50"/>
  <c r="D230" i="50"/>
  <c r="E230" i="50"/>
  <c r="F230" i="50"/>
  <c r="G230" i="50"/>
  <c r="H230" i="50"/>
  <c r="I230" i="50"/>
  <c r="J230" i="50"/>
  <c r="A231" i="50"/>
  <c r="C231" i="50"/>
  <c r="E231" i="50"/>
  <c r="G231" i="50"/>
  <c r="I231" i="50"/>
  <c r="A232" i="50"/>
  <c r="B232" i="50"/>
  <c r="C232" i="50"/>
  <c r="D232" i="50"/>
  <c r="E232" i="50"/>
  <c r="F232" i="50"/>
  <c r="G232" i="50"/>
  <c r="H232" i="50"/>
  <c r="I232" i="50"/>
  <c r="J232" i="50"/>
  <c r="A233" i="50"/>
  <c r="C233" i="50"/>
  <c r="E233" i="50"/>
  <c r="G233" i="50"/>
  <c r="I233" i="50"/>
  <c r="A234" i="50"/>
  <c r="C234" i="50"/>
  <c r="E234" i="50"/>
  <c r="G234" i="50"/>
  <c r="I234" i="50"/>
  <c r="A235" i="50"/>
  <c r="C235" i="50"/>
  <c r="E235" i="50"/>
  <c r="G235" i="50"/>
  <c r="I235" i="50"/>
  <c r="A236" i="50"/>
  <c r="B236" i="50"/>
  <c r="C236" i="50"/>
  <c r="D236" i="50"/>
  <c r="E236" i="50"/>
  <c r="F236" i="50"/>
  <c r="G236" i="50"/>
  <c r="H236" i="50"/>
  <c r="I236" i="50"/>
  <c r="J236" i="50"/>
  <c r="A237" i="50"/>
  <c r="B237" i="50"/>
  <c r="C237" i="50"/>
  <c r="D237" i="50"/>
  <c r="E237" i="50"/>
  <c r="F237" i="50"/>
  <c r="G237" i="50"/>
  <c r="H237" i="50"/>
  <c r="I237" i="50"/>
  <c r="J237" i="50"/>
  <c r="A238" i="50"/>
  <c r="B238" i="50"/>
  <c r="C238" i="50"/>
  <c r="D238" i="50"/>
  <c r="E238" i="50"/>
  <c r="F238" i="50"/>
  <c r="G238" i="50"/>
  <c r="H238" i="50"/>
  <c r="I238" i="50"/>
  <c r="J238" i="50"/>
  <c r="A239" i="50"/>
  <c r="B239" i="50"/>
  <c r="C239" i="50"/>
  <c r="D239" i="50"/>
  <c r="E239" i="50"/>
  <c r="F239" i="50"/>
  <c r="G239" i="50"/>
  <c r="H239" i="50"/>
  <c r="I239" i="50"/>
  <c r="J239" i="50"/>
  <c r="A240" i="50"/>
  <c r="C240" i="50"/>
  <c r="D240" i="50"/>
  <c r="E240" i="50"/>
  <c r="F240" i="50"/>
  <c r="G240" i="50"/>
  <c r="I240" i="50"/>
  <c r="A241" i="50"/>
  <c r="B241" i="50"/>
  <c r="C241" i="50"/>
  <c r="D241" i="50"/>
  <c r="E241" i="50"/>
  <c r="F241" i="50"/>
  <c r="G241" i="50"/>
  <c r="H241" i="50"/>
  <c r="I241" i="50"/>
  <c r="J241" i="50"/>
  <c r="A242" i="50"/>
  <c r="B242" i="50"/>
  <c r="C242" i="50"/>
  <c r="D242" i="50"/>
  <c r="E242" i="50"/>
  <c r="F242" i="50"/>
  <c r="G242" i="50"/>
  <c r="I242" i="50"/>
  <c r="J242" i="50"/>
  <c r="A243" i="50"/>
  <c r="B243" i="50"/>
  <c r="C243" i="50"/>
  <c r="D243" i="50"/>
  <c r="E243" i="50"/>
  <c r="F243" i="50"/>
  <c r="G243" i="50"/>
  <c r="H243" i="50"/>
  <c r="I243" i="50"/>
  <c r="J243" i="50"/>
  <c r="A244" i="50"/>
  <c r="C244" i="50"/>
  <c r="D244" i="50"/>
  <c r="E244" i="50"/>
  <c r="F244" i="50"/>
  <c r="G244" i="50"/>
  <c r="I244" i="50"/>
  <c r="A245" i="50"/>
  <c r="C245" i="50"/>
  <c r="D245" i="50"/>
  <c r="E245" i="50"/>
  <c r="F245" i="50"/>
  <c r="G245" i="50"/>
  <c r="I245" i="50"/>
  <c r="A246" i="50"/>
  <c r="B246" i="50"/>
  <c r="C246" i="50"/>
  <c r="D246" i="50"/>
  <c r="E246" i="50"/>
  <c r="F246" i="50"/>
  <c r="G246" i="50"/>
  <c r="H246" i="50"/>
  <c r="I246" i="50"/>
  <c r="J246" i="50"/>
  <c r="A247" i="50"/>
  <c r="B247" i="50"/>
  <c r="C247" i="50"/>
  <c r="D247" i="50"/>
  <c r="E247" i="50"/>
  <c r="F247" i="50"/>
  <c r="G247" i="50"/>
  <c r="H247" i="50"/>
  <c r="I247" i="50"/>
  <c r="J247" i="50"/>
  <c r="A248" i="50"/>
  <c r="B248" i="50"/>
  <c r="C248" i="50"/>
  <c r="D248" i="50"/>
  <c r="E248" i="50"/>
  <c r="F248" i="50"/>
  <c r="G248" i="50"/>
  <c r="H248" i="50"/>
  <c r="I248" i="50"/>
  <c r="J248" i="50"/>
  <c r="A249" i="50"/>
  <c r="B249" i="50"/>
  <c r="C249" i="50"/>
  <c r="D249" i="50"/>
  <c r="E249" i="50"/>
  <c r="F249" i="50"/>
  <c r="G249" i="50"/>
  <c r="H249" i="50"/>
  <c r="I249" i="50"/>
  <c r="J249" i="50"/>
  <c r="D1" i="28"/>
  <c r="B195" i="28" s="1"/>
  <c r="D3" i="28"/>
  <c r="B197" i="28" s="1"/>
  <c r="E17" i="28"/>
  <c r="K17" i="28" s="1"/>
  <c r="K213" i="28" s="1"/>
  <c r="F17" i="28"/>
  <c r="E18" i="28"/>
  <c r="K18" i="28" s="1"/>
  <c r="K214" i="28" s="1"/>
  <c r="F18" i="28"/>
  <c r="F214" i="28" s="1"/>
  <c r="E19" i="28"/>
  <c r="K19" i="28" s="1"/>
  <c r="K215" i="28" s="1"/>
  <c r="F19" i="28"/>
  <c r="E20" i="28"/>
  <c r="E216" i="28" s="1"/>
  <c r="F20" i="28"/>
  <c r="B196" i="28"/>
  <c r="B201" i="28"/>
  <c r="E201" i="28"/>
  <c r="F201" i="28"/>
  <c r="G201" i="28"/>
  <c r="H201" i="28"/>
  <c r="I201" i="28"/>
  <c r="J201" i="28"/>
  <c r="K201" i="28"/>
  <c r="L201" i="28"/>
  <c r="M201" i="28"/>
  <c r="B202" i="28"/>
  <c r="C202" i="28"/>
  <c r="D202" i="28"/>
  <c r="E202" i="28"/>
  <c r="F202" i="28"/>
  <c r="G202" i="28"/>
  <c r="H202" i="28"/>
  <c r="I202" i="28"/>
  <c r="J202" i="28"/>
  <c r="K202" i="28"/>
  <c r="L202" i="28"/>
  <c r="M202" i="28"/>
  <c r="B203" i="28"/>
  <c r="G203" i="28"/>
  <c r="J203" i="28"/>
  <c r="K203" i="28"/>
  <c r="L203" i="28"/>
  <c r="M203" i="28"/>
  <c r="B204" i="28"/>
  <c r="C204" i="28"/>
  <c r="D204" i="28"/>
  <c r="E204" i="28"/>
  <c r="F204" i="28"/>
  <c r="G204" i="28"/>
  <c r="H204" i="28"/>
  <c r="I204" i="28"/>
  <c r="J204" i="28"/>
  <c r="K204" i="28"/>
  <c r="L204" i="28"/>
  <c r="M204" i="28"/>
  <c r="C205" i="28"/>
  <c r="E205" i="28"/>
  <c r="F205" i="28"/>
  <c r="G205" i="28"/>
  <c r="C210" i="28"/>
  <c r="D210" i="28"/>
  <c r="B211" i="28"/>
  <c r="C211" i="28"/>
  <c r="D211" i="28"/>
  <c r="E211" i="28"/>
  <c r="F211" i="28"/>
  <c r="G211" i="28"/>
  <c r="H211" i="28"/>
  <c r="I211" i="28"/>
  <c r="J211" i="28"/>
  <c r="K211" i="28"/>
  <c r="L211" i="28"/>
  <c r="M211" i="28"/>
  <c r="B212" i="28"/>
  <c r="C212" i="28"/>
  <c r="D212" i="28"/>
  <c r="E212" i="28"/>
  <c r="F212" i="28"/>
  <c r="G212" i="28"/>
  <c r="H212" i="28"/>
  <c r="I212" i="28"/>
  <c r="J212" i="28"/>
  <c r="K212" i="28"/>
  <c r="L212" i="28"/>
  <c r="M212" i="28"/>
  <c r="D213" i="28"/>
  <c r="H213" i="28"/>
  <c r="I213" i="28"/>
  <c r="J213" i="28"/>
  <c r="D214" i="28"/>
  <c r="H214" i="28"/>
  <c r="I214" i="28"/>
  <c r="J214" i="28"/>
  <c r="C215" i="28"/>
  <c r="D215" i="28"/>
  <c r="H215" i="28"/>
  <c r="I215" i="28"/>
  <c r="J215" i="28"/>
  <c r="C216" i="28"/>
  <c r="D216" i="28"/>
  <c r="H216" i="28"/>
  <c r="I216" i="28"/>
  <c r="J216" i="28"/>
  <c r="C217" i="28"/>
  <c r="D217" i="28"/>
  <c r="H217" i="28"/>
  <c r="I217" i="28"/>
  <c r="J217" i="28"/>
  <c r="B218" i="28"/>
  <c r="C218" i="28"/>
  <c r="D218" i="28"/>
  <c r="E218" i="28"/>
  <c r="F218" i="28"/>
  <c r="G218" i="28"/>
  <c r="H218" i="28"/>
  <c r="I218" i="28"/>
  <c r="J218" i="28"/>
  <c r="K218" i="28"/>
  <c r="L218" i="28"/>
  <c r="M218" i="28"/>
  <c r="C219" i="28"/>
  <c r="D219" i="28"/>
  <c r="B220" i="28"/>
  <c r="B221" i="28"/>
  <c r="B222" i="28"/>
  <c r="C222" i="28"/>
  <c r="D222" i="28"/>
  <c r="E222" i="28"/>
  <c r="F222" i="28"/>
  <c r="G222" i="28"/>
  <c r="H222" i="28"/>
  <c r="I222" i="28"/>
  <c r="J222" i="28"/>
  <c r="K222" i="28"/>
  <c r="L222" i="28"/>
  <c r="M222" i="28"/>
  <c r="C1" i="25"/>
  <c r="B182" i="25" s="1"/>
  <c r="C3" i="25"/>
  <c r="B184" i="25" s="1"/>
  <c r="C7" i="25"/>
  <c r="C189" i="25" s="1"/>
  <c r="E7" i="25"/>
  <c r="E189" i="25" s="1"/>
  <c r="G7" i="25"/>
  <c r="G189" i="25" s="1"/>
  <c r="I7" i="25"/>
  <c r="I189" i="25" s="1"/>
  <c r="I8" i="25"/>
  <c r="I9" i="25"/>
  <c r="I191" i="25" s="1"/>
  <c r="C10" i="25"/>
  <c r="C12" i="25" s="1"/>
  <c r="C14" i="25" s="1"/>
  <c r="C196" i="25" s="1"/>
  <c r="E10" i="25"/>
  <c r="E12" i="25" s="1"/>
  <c r="G10" i="25"/>
  <c r="M10" i="25"/>
  <c r="M12" i="25" s="1"/>
  <c r="M14" i="25" s="1"/>
  <c r="M196" i="25" s="1"/>
  <c r="I11" i="25"/>
  <c r="I193" i="25" s="1"/>
  <c r="I13" i="25"/>
  <c r="B16" i="25"/>
  <c r="B198" i="25" s="1"/>
  <c r="C21" i="25"/>
  <c r="C203" i="25" s="1"/>
  <c r="E22" i="25"/>
  <c r="E204" i="25" s="1"/>
  <c r="G22" i="25"/>
  <c r="C29" i="25"/>
  <c r="C211" i="25" s="1"/>
  <c r="E29" i="25"/>
  <c r="C30" i="25"/>
  <c r="E30" i="25"/>
  <c r="E212" i="25" s="1"/>
  <c r="G32" i="25"/>
  <c r="G214" i="25" s="1"/>
  <c r="C43" i="25"/>
  <c r="B183" i="25"/>
  <c r="B188" i="25"/>
  <c r="C188" i="25"/>
  <c r="D188" i="25"/>
  <c r="E188" i="25"/>
  <c r="F188" i="25"/>
  <c r="G188" i="25"/>
  <c r="J188" i="25"/>
  <c r="K188" i="25"/>
  <c r="L188" i="25"/>
  <c r="M188" i="25"/>
  <c r="B189" i="25"/>
  <c r="D189" i="25"/>
  <c r="F189" i="25"/>
  <c r="J189" i="25"/>
  <c r="L189" i="25"/>
  <c r="C190" i="25"/>
  <c r="D190" i="25"/>
  <c r="E190" i="25"/>
  <c r="F190" i="25"/>
  <c r="G190" i="25"/>
  <c r="J190" i="25"/>
  <c r="L190" i="25"/>
  <c r="M190" i="25"/>
  <c r="C191" i="25"/>
  <c r="D191" i="25"/>
  <c r="E191" i="25"/>
  <c r="F191" i="25"/>
  <c r="G191" i="25"/>
  <c r="J191" i="25"/>
  <c r="L191" i="25"/>
  <c r="M191" i="25"/>
  <c r="B192" i="25"/>
  <c r="D192" i="25"/>
  <c r="F192" i="25"/>
  <c r="J192" i="25"/>
  <c r="L192" i="25"/>
  <c r="C193" i="25"/>
  <c r="D193" i="25"/>
  <c r="E193" i="25"/>
  <c r="F193" i="25"/>
  <c r="G193" i="25"/>
  <c r="J193" i="25"/>
  <c r="K193" i="25"/>
  <c r="L193" i="25"/>
  <c r="M193" i="25"/>
  <c r="D194" i="25"/>
  <c r="F194" i="25"/>
  <c r="J194" i="25"/>
  <c r="L194" i="25"/>
  <c r="C195" i="25"/>
  <c r="D195" i="25"/>
  <c r="E195" i="25"/>
  <c r="F195" i="25"/>
  <c r="G195" i="25"/>
  <c r="J195" i="25"/>
  <c r="K195" i="25"/>
  <c r="L195" i="25"/>
  <c r="M195" i="25"/>
  <c r="D196" i="25"/>
  <c r="F196" i="25"/>
  <c r="J196" i="25"/>
  <c r="L196" i="25"/>
  <c r="B197" i="25"/>
  <c r="C197" i="25"/>
  <c r="D197" i="25"/>
  <c r="E197" i="25"/>
  <c r="F197" i="25"/>
  <c r="G197" i="25"/>
  <c r="B199" i="25"/>
  <c r="B200" i="25"/>
  <c r="B201" i="25"/>
  <c r="C201" i="25"/>
  <c r="D201" i="25"/>
  <c r="E201" i="25"/>
  <c r="F201" i="25"/>
  <c r="G201" i="25"/>
  <c r="B202" i="25"/>
  <c r="C202" i="25"/>
  <c r="D202" i="25"/>
  <c r="E202" i="25"/>
  <c r="F202" i="25"/>
  <c r="G202" i="25"/>
  <c r="B203" i="25"/>
  <c r="D203" i="25"/>
  <c r="F203" i="25"/>
  <c r="D204" i="25"/>
  <c r="F204" i="25"/>
  <c r="B205" i="25"/>
  <c r="C205" i="25"/>
  <c r="D205" i="25"/>
  <c r="E205" i="25"/>
  <c r="F205" i="25"/>
  <c r="G205" i="25"/>
  <c r="B206" i="25"/>
  <c r="C206" i="25"/>
  <c r="D206" i="25"/>
  <c r="E206" i="25"/>
  <c r="F206" i="25"/>
  <c r="G206" i="25"/>
  <c r="D207" i="25"/>
  <c r="F207" i="25"/>
  <c r="B208" i="25"/>
  <c r="C208" i="25"/>
  <c r="D208" i="25"/>
  <c r="E208" i="25"/>
  <c r="F208" i="25"/>
  <c r="G208" i="25"/>
  <c r="B209" i="25"/>
  <c r="C209" i="25"/>
  <c r="D209" i="25"/>
  <c r="E209" i="25"/>
  <c r="F209" i="25"/>
  <c r="G209" i="25"/>
  <c r="C210" i="25"/>
  <c r="D210" i="25"/>
  <c r="E210" i="25"/>
  <c r="F210" i="25"/>
  <c r="G210" i="25"/>
  <c r="D211" i="25"/>
  <c r="F211" i="25"/>
  <c r="G211" i="25"/>
  <c r="D212" i="25"/>
  <c r="F212" i="25"/>
  <c r="G212" i="25"/>
  <c r="B213" i="25"/>
  <c r="C213" i="25"/>
  <c r="D213" i="25"/>
  <c r="E213" i="25"/>
  <c r="F213" i="25"/>
  <c r="G213" i="25"/>
  <c r="D214" i="25"/>
  <c r="F214" i="25"/>
  <c r="B215" i="25"/>
  <c r="D215" i="25"/>
  <c r="F215" i="25"/>
  <c r="G215" i="25"/>
  <c r="C216" i="25"/>
  <c r="D216" i="25"/>
  <c r="E216" i="25"/>
  <c r="F216" i="25"/>
  <c r="G216" i="25"/>
  <c r="B217" i="25"/>
  <c r="C217" i="25"/>
  <c r="D217" i="25"/>
  <c r="E217" i="25"/>
  <c r="F217" i="25"/>
  <c r="G217" i="25"/>
  <c r="B218" i="25"/>
  <c r="C218" i="25"/>
  <c r="D218" i="25"/>
  <c r="E218" i="25"/>
  <c r="F218" i="25"/>
  <c r="G218" i="25"/>
  <c r="B219" i="25"/>
  <c r="C219" i="25"/>
  <c r="D219" i="25"/>
  <c r="E219" i="25"/>
  <c r="F219" i="25"/>
  <c r="G219" i="25"/>
  <c r="B220" i="25"/>
  <c r="C220" i="25"/>
  <c r="D220" i="25"/>
  <c r="E220" i="25"/>
  <c r="F220" i="25"/>
  <c r="G220" i="25"/>
  <c r="B221" i="25"/>
  <c r="C221" i="25"/>
  <c r="D221" i="25"/>
  <c r="E221" i="25"/>
  <c r="F221" i="25"/>
  <c r="G221" i="25"/>
  <c r="B222" i="25"/>
  <c r="C222" i="25"/>
  <c r="D222" i="25"/>
  <c r="E222" i="25"/>
  <c r="F222" i="25"/>
  <c r="G222" i="25"/>
  <c r="B223" i="25"/>
  <c r="C223" i="25"/>
  <c r="D223" i="25"/>
  <c r="E223" i="25"/>
  <c r="F223" i="25"/>
  <c r="G223" i="25"/>
  <c r="B224" i="25"/>
  <c r="C224" i="25"/>
  <c r="D224" i="25"/>
  <c r="E224" i="25"/>
  <c r="F224" i="25"/>
  <c r="G224" i="25"/>
  <c r="B225" i="25"/>
  <c r="D225" i="25"/>
  <c r="E225" i="25"/>
  <c r="F225" i="25"/>
  <c r="G225" i="25"/>
  <c r="B226" i="25"/>
  <c r="E1" i="51"/>
  <c r="B222" i="51" s="1"/>
  <c r="D3" i="51"/>
  <c r="B224" i="51" s="1"/>
  <c r="E8" i="51"/>
  <c r="E231" i="51" s="1"/>
  <c r="G8" i="51"/>
  <c r="M8" i="51"/>
  <c r="I55" i="38" s="1"/>
  <c r="E9" i="51"/>
  <c r="G9" i="51"/>
  <c r="M9" i="51"/>
  <c r="I49" i="38" s="1"/>
  <c r="I51" i="38" s="1"/>
  <c r="E10" i="51"/>
  <c r="E233" i="51" s="1"/>
  <c r="G10" i="51"/>
  <c r="M10" i="51"/>
  <c r="M233" i="51" s="1"/>
  <c r="E11" i="51"/>
  <c r="E234" i="51" s="1"/>
  <c r="G11" i="51"/>
  <c r="G234" i="51" s="1"/>
  <c r="M11" i="51"/>
  <c r="M234" i="51" s="1"/>
  <c r="E12" i="51"/>
  <c r="I68" i="38" s="1"/>
  <c r="G12" i="51"/>
  <c r="D12" i="34" s="1"/>
  <c r="D207" i="34" s="1"/>
  <c r="M12" i="51"/>
  <c r="F12" i="34" s="1"/>
  <c r="F207" i="34" s="1"/>
  <c r="E13" i="51"/>
  <c r="E236" i="51" s="1"/>
  <c r="G13" i="51"/>
  <c r="M13" i="51"/>
  <c r="E14" i="51"/>
  <c r="G14" i="51"/>
  <c r="M14" i="51"/>
  <c r="E15" i="51"/>
  <c r="G15" i="51"/>
  <c r="G238" i="51" s="1"/>
  <c r="M15" i="51"/>
  <c r="M238" i="51" s="1"/>
  <c r="E16" i="51"/>
  <c r="E239" i="51" s="1"/>
  <c r="G16" i="51"/>
  <c r="M16" i="51"/>
  <c r="E18" i="51"/>
  <c r="E241" i="51" s="1"/>
  <c r="G18" i="51"/>
  <c r="G241" i="51" s="1"/>
  <c r="M18" i="51"/>
  <c r="M241" i="51" s="1"/>
  <c r="E19" i="51"/>
  <c r="E242" i="51" s="1"/>
  <c r="G19" i="51"/>
  <c r="M19" i="51"/>
  <c r="M242" i="51" s="1"/>
  <c r="E28" i="51"/>
  <c r="E251" i="51" s="1"/>
  <c r="G28" i="51"/>
  <c r="G251" i="51" s="1"/>
  <c r="M28" i="51"/>
  <c r="M251" i="51" s="1"/>
  <c r="K29" i="51"/>
  <c r="K30" i="51"/>
  <c r="E36" i="51"/>
  <c r="G36" i="51"/>
  <c r="M36" i="51"/>
  <c r="K37" i="51"/>
  <c r="K258" i="51" s="1"/>
  <c r="E38" i="51"/>
  <c r="G38" i="51"/>
  <c r="M38" i="51"/>
  <c r="E41" i="51"/>
  <c r="E262" i="51" s="1"/>
  <c r="G41" i="51"/>
  <c r="M41" i="51"/>
  <c r="M262" i="51" s="1"/>
  <c r="B223" i="51"/>
  <c r="B228" i="51"/>
  <c r="C228" i="51"/>
  <c r="D228" i="51"/>
  <c r="E228" i="51"/>
  <c r="F228" i="51"/>
  <c r="G228" i="51"/>
  <c r="H228" i="51"/>
  <c r="I228" i="51"/>
  <c r="J228" i="51"/>
  <c r="K228" i="51"/>
  <c r="L228" i="51"/>
  <c r="N228" i="51"/>
  <c r="O228" i="51"/>
  <c r="B229" i="51"/>
  <c r="C229" i="51"/>
  <c r="D229" i="51"/>
  <c r="E229" i="51"/>
  <c r="F229" i="51"/>
  <c r="G229" i="51"/>
  <c r="H229" i="51"/>
  <c r="I229" i="51"/>
  <c r="J229" i="51"/>
  <c r="K229" i="51"/>
  <c r="L229" i="51"/>
  <c r="M229" i="51"/>
  <c r="N229" i="51"/>
  <c r="O229" i="51"/>
  <c r="B230" i="51"/>
  <c r="C230" i="51"/>
  <c r="D230" i="51"/>
  <c r="E230" i="51"/>
  <c r="F230" i="51"/>
  <c r="G230" i="51"/>
  <c r="H230" i="51"/>
  <c r="I230" i="51"/>
  <c r="J230" i="51"/>
  <c r="K230" i="51"/>
  <c r="L230" i="51"/>
  <c r="M230" i="51"/>
  <c r="N230" i="51"/>
  <c r="O230" i="51"/>
  <c r="B231" i="51"/>
  <c r="D231" i="51"/>
  <c r="F231" i="51"/>
  <c r="H231" i="51"/>
  <c r="J231" i="51"/>
  <c r="L231" i="51"/>
  <c r="N231" i="51"/>
  <c r="B232" i="51"/>
  <c r="D232" i="51"/>
  <c r="F232" i="51"/>
  <c r="H232" i="51"/>
  <c r="J232" i="51"/>
  <c r="L232" i="51"/>
  <c r="N232" i="51"/>
  <c r="B233" i="51"/>
  <c r="D233" i="51"/>
  <c r="F233" i="51"/>
  <c r="H233" i="51"/>
  <c r="J233" i="51"/>
  <c r="L233" i="51"/>
  <c r="N233" i="51"/>
  <c r="B234" i="51"/>
  <c r="D234" i="51"/>
  <c r="F234" i="51"/>
  <c r="H234" i="51"/>
  <c r="J234" i="51"/>
  <c r="L234" i="51"/>
  <c r="N234" i="51"/>
  <c r="B235" i="51"/>
  <c r="D235" i="51"/>
  <c r="F235" i="51"/>
  <c r="H235" i="51"/>
  <c r="J235" i="51"/>
  <c r="L235" i="51"/>
  <c r="N235" i="51"/>
  <c r="B236" i="51"/>
  <c r="D236" i="51"/>
  <c r="F236" i="51"/>
  <c r="H236" i="51"/>
  <c r="J236" i="51"/>
  <c r="L236" i="51"/>
  <c r="N236" i="51"/>
  <c r="B237" i="51"/>
  <c r="D237" i="51"/>
  <c r="F237" i="51"/>
  <c r="H237" i="51"/>
  <c r="J237" i="51"/>
  <c r="L237" i="51"/>
  <c r="N237" i="51"/>
  <c r="B238" i="51"/>
  <c r="D238" i="51"/>
  <c r="F238" i="51"/>
  <c r="H238" i="51"/>
  <c r="J238" i="51"/>
  <c r="L238" i="51"/>
  <c r="N238" i="51"/>
  <c r="B239" i="51"/>
  <c r="D239" i="51"/>
  <c r="F239" i="51"/>
  <c r="H239" i="51"/>
  <c r="J239" i="51"/>
  <c r="L239" i="51"/>
  <c r="N239" i="51"/>
  <c r="B240" i="51"/>
  <c r="D240" i="51"/>
  <c r="F240" i="51"/>
  <c r="H240" i="51"/>
  <c r="J240" i="51"/>
  <c r="L240" i="51"/>
  <c r="N240" i="51"/>
  <c r="B241" i="51"/>
  <c r="D241" i="51"/>
  <c r="F241" i="51"/>
  <c r="H241" i="51"/>
  <c r="J241" i="51"/>
  <c r="L241" i="51"/>
  <c r="N241" i="51"/>
  <c r="B242" i="51"/>
  <c r="D242" i="51"/>
  <c r="F242" i="51"/>
  <c r="H242" i="51"/>
  <c r="J242" i="51"/>
  <c r="L242" i="51"/>
  <c r="N242" i="51"/>
  <c r="B243" i="51"/>
  <c r="C243" i="51"/>
  <c r="D243" i="51"/>
  <c r="E243" i="51"/>
  <c r="F243" i="51"/>
  <c r="G243" i="51"/>
  <c r="H243" i="51"/>
  <c r="I243" i="51"/>
  <c r="J243" i="51"/>
  <c r="K243" i="51"/>
  <c r="L243" i="51"/>
  <c r="M243" i="51"/>
  <c r="N243" i="51"/>
  <c r="O243" i="51"/>
  <c r="B244" i="51"/>
  <c r="D244" i="51"/>
  <c r="F244" i="51"/>
  <c r="H244" i="51"/>
  <c r="J244" i="51"/>
  <c r="L244" i="51"/>
  <c r="N244" i="51"/>
  <c r="B245" i="51"/>
  <c r="D245" i="51"/>
  <c r="F245" i="51"/>
  <c r="H245" i="51"/>
  <c r="I245" i="51"/>
  <c r="J245" i="51"/>
  <c r="L245" i="51"/>
  <c r="N245" i="51"/>
  <c r="O245" i="51"/>
  <c r="B246" i="51"/>
  <c r="D246" i="51"/>
  <c r="F246" i="51"/>
  <c r="H246" i="51"/>
  <c r="I246" i="51"/>
  <c r="J246" i="51"/>
  <c r="L246" i="51"/>
  <c r="N246" i="51"/>
  <c r="O246" i="51"/>
  <c r="B247" i="51"/>
  <c r="C247" i="51"/>
  <c r="D247" i="51"/>
  <c r="E247" i="51"/>
  <c r="F247" i="51"/>
  <c r="G247" i="51"/>
  <c r="H247" i="51"/>
  <c r="I247" i="51"/>
  <c r="J247" i="51"/>
  <c r="K247" i="51"/>
  <c r="L247" i="51"/>
  <c r="M247" i="51"/>
  <c r="N247" i="51"/>
  <c r="O247" i="51"/>
  <c r="B248" i="51"/>
  <c r="C248" i="51"/>
  <c r="D248" i="51"/>
  <c r="E248" i="51"/>
  <c r="F248" i="51"/>
  <c r="G248" i="51"/>
  <c r="H248" i="51"/>
  <c r="I248" i="51"/>
  <c r="J248" i="51"/>
  <c r="K248" i="51"/>
  <c r="L248" i="51"/>
  <c r="M248" i="51"/>
  <c r="N248" i="51"/>
  <c r="O248" i="51"/>
  <c r="B249" i="51"/>
  <c r="D249" i="51"/>
  <c r="F249" i="51"/>
  <c r="H249" i="51"/>
  <c r="J249" i="51"/>
  <c r="L249" i="51"/>
  <c r="N249" i="51"/>
  <c r="B250" i="51"/>
  <c r="D250" i="51"/>
  <c r="F250" i="51"/>
  <c r="H250" i="51"/>
  <c r="J250" i="51"/>
  <c r="L250" i="51"/>
  <c r="N250" i="51"/>
  <c r="B251" i="51"/>
  <c r="D251" i="51"/>
  <c r="F251" i="51"/>
  <c r="H251" i="51"/>
  <c r="J251" i="51"/>
  <c r="L251" i="51"/>
  <c r="N251" i="51"/>
  <c r="B252" i="51"/>
  <c r="D252" i="51"/>
  <c r="F252" i="51"/>
  <c r="H252" i="51"/>
  <c r="J252" i="51"/>
  <c r="L252" i="51"/>
  <c r="N252" i="51"/>
  <c r="B253" i="51"/>
  <c r="D253" i="51"/>
  <c r="F253" i="51"/>
  <c r="H253" i="51"/>
  <c r="J253" i="51"/>
  <c r="L253" i="51"/>
  <c r="N253" i="51"/>
  <c r="B254" i="51"/>
  <c r="D254" i="51"/>
  <c r="F254" i="51"/>
  <c r="H254" i="51"/>
  <c r="J254" i="51"/>
  <c r="L254" i="51"/>
  <c r="N254" i="51"/>
  <c r="B255" i="51"/>
  <c r="D255" i="51"/>
  <c r="F255" i="51"/>
  <c r="H255" i="51"/>
  <c r="J255" i="51"/>
  <c r="L255" i="51"/>
  <c r="N255" i="51"/>
  <c r="B256" i="51"/>
  <c r="D256" i="51"/>
  <c r="F256" i="51"/>
  <c r="H256" i="51"/>
  <c r="J256" i="51"/>
  <c r="L256" i="51"/>
  <c r="N256" i="51"/>
  <c r="B257" i="51"/>
  <c r="D257" i="51"/>
  <c r="F257" i="51"/>
  <c r="H257" i="51"/>
  <c r="J257" i="51"/>
  <c r="L257" i="51"/>
  <c r="N257" i="51"/>
  <c r="B258" i="51"/>
  <c r="D258" i="51"/>
  <c r="E258" i="51"/>
  <c r="F258" i="51"/>
  <c r="G258" i="51"/>
  <c r="H258" i="51"/>
  <c r="J258" i="51"/>
  <c r="L258" i="51"/>
  <c r="M258" i="51"/>
  <c r="N258" i="51"/>
  <c r="B259" i="51"/>
  <c r="D259" i="51"/>
  <c r="F259" i="51"/>
  <c r="H259" i="51"/>
  <c r="J259" i="51"/>
  <c r="L259" i="51"/>
  <c r="N259" i="51"/>
  <c r="B260" i="51"/>
  <c r="C260" i="51"/>
  <c r="D260" i="51"/>
  <c r="E260" i="51"/>
  <c r="F260" i="51"/>
  <c r="G260" i="51"/>
  <c r="H260" i="51"/>
  <c r="I260" i="51"/>
  <c r="J260" i="51"/>
  <c r="K260" i="51"/>
  <c r="L260" i="51"/>
  <c r="M260" i="51"/>
  <c r="N260" i="51"/>
  <c r="O260" i="51"/>
  <c r="B261" i="51"/>
  <c r="D261" i="51"/>
  <c r="F261" i="51"/>
  <c r="H261" i="51"/>
  <c r="J261" i="51"/>
  <c r="L261" i="51"/>
  <c r="N261" i="51"/>
  <c r="B262" i="51"/>
  <c r="D262" i="51"/>
  <c r="F262" i="51"/>
  <c r="H262" i="51"/>
  <c r="I262" i="51"/>
  <c r="J262" i="51"/>
  <c r="L262" i="51"/>
  <c r="N262" i="51"/>
  <c r="O262" i="51"/>
  <c r="B263" i="51"/>
  <c r="D263" i="51"/>
  <c r="F263" i="51"/>
  <c r="H263" i="51"/>
  <c r="I263" i="51"/>
  <c r="J263" i="51"/>
  <c r="L263" i="51"/>
  <c r="N263" i="51"/>
  <c r="O263" i="51"/>
  <c r="B264" i="51"/>
  <c r="C264" i="51"/>
  <c r="D264" i="51"/>
  <c r="E264" i="51"/>
  <c r="F264" i="51"/>
  <c r="G264" i="51"/>
  <c r="H264" i="51"/>
  <c r="I264" i="51"/>
  <c r="J264" i="51"/>
  <c r="K264" i="51"/>
  <c r="L264" i="51"/>
  <c r="M264" i="51"/>
  <c r="N264" i="51"/>
  <c r="O264" i="51"/>
  <c r="B265" i="51"/>
  <c r="D265" i="51"/>
  <c r="F265" i="51"/>
  <c r="H265" i="51"/>
  <c r="I265" i="51"/>
  <c r="J265" i="51"/>
  <c r="L265" i="51"/>
  <c r="N265" i="51"/>
  <c r="O265" i="51"/>
  <c r="B268" i="51"/>
  <c r="C268" i="51"/>
  <c r="C269" i="51"/>
  <c r="C270" i="51"/>
  <c r="G1" i="29"/>
  <c r="B195" i="29" s="1"/>
  <c r="G2" i="29"/>
  <c r="B196" i="29" s="1"/>
  <c r="C10" i="29"/>
  <c r="C206" i="29" s="1"/>
  <c r="E10" i="29"/>
  <c r="E206" i="29" s="1"/>
  <c r="G10" i="29"/>
  <c r="G206" i="29" s="1"/>
  <c r="I10" i="29"/>
  <c r="I206" i="29" s="1"/>
  <c r="M10" i="29"/>
  <c r="O10" i="29"/>
  <c r="O206" i="29" s="1"/>
  <c r="C11" i="29"/>
  <c r="C207" i="29" s="1"/>
  <c r="E11" i="29"/>
  <c r="G11" i="29"/>
  <c r="M11" i="29"/>
  <c r="O11" i="29"/>
  <c r="O207" i="29" s="1"/>
  <c r="C13" i="29"/>
  <c r="C209" i="29" s="1"/>
  <c r="E13" i="29"/>
  <c r="E209" i="29" s="1"/>
  <c r="G13" i="29"/>
  <c r="G209" i="29" s="1"/>
  <c r="I13" i="29"/>
  <c r="I209" i="29" s="1"/>
  <c r="M13" i="29"/>
  <c r="M209" i="29" s="1"/>
  <c r="O13" i="29"/>
  <c r="O209" i="29" s="1"/>
  <c r="C14" i="29"/>
  <c r="C210" i="29" s="1"/>
  <c r="E14" i="29"/>
  <c r="E210" i="29" s="1"/>
  <c r="G14" i="29"/>
  <c r="I210" i="29"/>
  <c r="M14" i="29"/>
  <c r="Q14" i="29" s="1"/>
  <c r="Q210" i="29" s="1"/>
  <c r="O14" i="29"/>
  <c r="O210" i="29" s="1"/>
  <c r="C16" i="29"/>
  <c r="C212" i="29" s="1"/>
  <c r="E16" i="29"/>
  <c r="E212" i="29" s="1"/>
  <c r="G16" i="29"/>
  <c r="I16" i="29"/>
  <c r="I212" i="29" s="1"/>
  <c r="M16" i="29"/>
  <c r="O16" i="29"/>
  <c r="O212" i="29" s="1"/>
  <c r="C17" i="29"/>
  <c r="C213" i="29" s="1"/>
  <c r="E17" i="29"/>
  <c r="E213" i="29" s="1"/>
  <c r="G17" i="29"/>
  <c r="G213" i="29" s="1"/>
  <c r="I17" i="29"/>
  <c r="I213" i="29" s="1"/>
  <c r="M17" i="29"/>
  <c r="O17" i="29"/>
  <c r="O213" i="29" s="1"/>
  <c r="C19" i="29"/>
  <c r="C215" i="29" s="1"/>
  <c r="E19" i="29"/>
  <c r="E215" i="29" s="1"/>
  <c r="G19" i="29"/>
  <c r="G215" i="29" s="1"/>
  <c r="I19" i="29"/>
  <c r="I215" i="29" s="1"/>
  <c r="M19" i="29"/>
  <c r="Q19" i="29" s="1"/>
  <c r="Q215" i="29" s="1"/>
  <c r="O19" i="29"/>
  <c r="O215" i="29" s="1"/>
  <c r="C20" i="29"/>
  <c r="C216" i="29" s="1"/>
  <c r="E20" i="29"/>
  <c r="E216" i="29" s="1"/>
  <c r="G20" i="29"/>
  <c r="G216" i="29" s="1"/>
  <c r="I20" i="29"/>
  <c r="I216" i="29" s="1"/>
  <c r="M20" i="29"/>
  <c r="Q20" i="29" s="1"/>
  <c r="Q216" i="29" s="1"/>
  <c r="O20" i="29"/>
  <c r="O216" i="29" s="1"/>
  <c r="B24" i="29"/>
  <c r="C24" i="29"/>
  <c r="C220" i="29" s="1"/>
  <c r="E24" i="29"/>
  <c r="E220" i="29" s="1"/>
  <c r="G24" i="29"/>
  <c r="G220" i="29" s="1"/>
  <c r="I220" i="29"/>
  <c r="M24" i="29"/>
  <c r="O24" i="29"/>
  <c r="O220" i="29" s="1"/>
  <c r="B25" i="29"/>
  <c r="C25" i="29"/>
  <c r="C221" i="29" s="1"/>
  <c r="E25" i="29"/>
  <c r="E221" i="29" s="1"/>
  <c r="G25" i="29"/>
  <c r="G221" i="29" s="1"/>
  <c r="I221" i="29"/>
  <c r="M25" i="29"/>
  <c r="M221" i="29" s="1"/>
  <c r="O25" i="29"/>
  <c r="O221" i="29" s="1"/>
  <c r="B26" i="29"/>
  <c r="E29" i="29"/>
  <c r="E225" i="29" s="1"/>
  <c r="G29" i="29"/>
  <c r="G225" i="29" s="1"/>
  <c r="M29" i="29"/>
  <c r="O29" i="29"/>
  <c r="E104" i="33" s="1"/>
  <c r="E309" i="33" s="1"/>
  <c r="E30" i="29"/>
  <c r="E226" i="29" s="1"/>
  <c r="G30" i="29"/>
  <c r="I30" i="29"/>
  <c r="M30" i="29"/>
  <c r="M226" i="29" s="1"/>
  <c r="O30" i="29"/>
  <c r="E31" i="29"/>
  <c r="E227" i="29" s="1"/>
  <c r="G31" i="29"/>
  <c r="M31" i="29"/>
  <c r="Q31" i="29" s="1"/>
  <c r="O31" i="29"/>
  <c r="O227" i="29" s="1"/>
  <c r="E32" i="29"/>
  <c r="E228" i="29" s="1"/>
  <c r="G32" i="29"/>
  <c r="G228" i="29" s="1"/>
  <c r="I32" i="29"/>
  <c r="I228" i="29" s="1"/>
  <c r="M32" i="29"/>
  <c r="O32" i="29"/>
  <c r="O228" i="29" s="1"/>
  <c r="B33" i="29"/>
  <c r="E33" i="29"/>
  <c r="E229" i="29" s="1"/>
  <c r="G33" i="29"/>
  <c r="I33" i="29"/>
  <c r="I229" i="29" s="1"/>
  <c r="M33" i="29"/>
  <c r="M229" i="29" s="1"/>
  <c r="O33" i="29"/>
  <c r="O229" i="29" s="1"/>
  <c r="E35" i="29"/>
  <c r="G35" i="29"/>
  <c r="K35" i="29" s="1"/>
  <c r="K231" i="29" s="1"/>
  <c r="I35" i="29"/>
  <c r="M35" i="29"/>
  <c r="M231" i="29" s="1"/>
  <c r="O35" i="29"/>
  <c r="O231" i="29" s="1"/>
  <c r="C200" i="29"/>
  <c r="D200" i="29"/>
  <c r="E200" i="29"/>
  <c r="F200" i="29"/>
  <c r="G200" i="29"/>
  <c r="H200" i="29"/>
  <c r="I200" i="29"/>
  <c r="J200" i="29"/>
  <c r="K200" i="29"/>
  <c r="L200" i="29"/>
  <c r="M200" i="29"/>
  <c r="O200" i="29"/>
  <c r="B201" i="29"/>
  <c r="C201" i="29"/>
  <c r="D201" i="29"/>
  <c r="E201" i="29"/>
  <c r="F201" i="29"/>
  <c r="G201" i="29"/>
  <c r="H201" i="29"/>
  <c r="I201" i="29"/>
  <c r="J201" i="29"/>
  <c r="K201" i="29"/>
  <c r="L201" i="29"/>
  <c r="M201" i="29"/>
  <c r="N201" i="29"/>
  <c r="O201" i="29"/>
  <c r="P201" i="29"/>
  <c r="Q201" i="29"/>
  <c r="B202" i="29"/>
  <c r="C202" i="29"/>
  <c r="D202" i="29"/>
  <c r="E202" i="29"/>
  <c r="F202" i="29"/>
  <c r="G202" i="29"/>
  <c r="H202" i="29"/>
  <c r="I202" i="29"/>
  <c r="J202" i="29"/>
  <c r="K202" i="29"/>
  <c r="L202" i="29"/>
  <c r="M202" i="29"/>
  <c r="N202" i="29"/>
  <c r="O202" i="29"/>
  <c r="P202" i="29"/>
  <c r="Q202" i="29"/>
  <c r="B203" i="29"/>
  <c r="C203" i="29"/>
  <c r="D203" i="29"/>
  <c r="E203" i="29"/>
  <c r="F203" i="29"/>
  <c r="G203" i="29"/>
  <c r="H203" i="29"/>
  <c r="I203" i="29"/>
  <c r="J203" i="29"/>
  <c r="K203" i="29"/>
  <c r="L203" i="29"/>
  <c r="M203" i="29"/>
  <c r="N203" i="29"/>
  <c r="O203" i="29"/>
  <c r="P203" i="29"/>
  <c r="Q203" i="29"/>
  <c r="B204" i="29"/>
  <c r="C204" i="29"/>
  <c r="D204" i="29"/>
  <c r="E204" i="29"/>
  <c r="F204" i="29"/>
  <c r="G204" i="29"/>
  <c r="H204" i="29"/>
  <c r="I204" i="29"/>
  <c r="J204" i="29"/>
  <c r="K204" i="29"/>
  <c r="L204" i="29"/>
  <c r="M204" i="29"/>
  <c r="N204" i="29"/>
  <c r="O204" i="29"/>
  <c r="P204" i="29"/>
  <c r="Q204" i="29"/>
  <c r="B205" i="29"/>
  <c r="C205" i="29"/>
  <c r="D205" i="29"/>
  <c r="E205" i="29"/>
  <c r="F205" i="29"/>
  <c r="G205" i="29"/>
  <c r="H205" i="29"/>
  <c r="I205" i="29"/>
  <c r="J205" i="29"/>
  <c r="K205" i="29"/>
  <c r="L205" i="29"/>
  <c r="M205" i="29"/>
  <c r="N205" i="29"/>
  <c r="O205" i="29"/>
  <c r="P205" i="29"/>
  <c r="Q205" i="29"/>
  <c r="D206" i="29"/>
  <c r="F206" i="29"/>
  <c r="H206" i="29"/>
  <c r="J206" i="29"/>
  <c r="L206" i="29"/>
  <c r="N206" i="29"/>
  <c r="P206" i="29"/>
  <c r="D207" i="29"/>
  <c r="F207" i="29"/>
  <c r="H207" i="29"/>
  <c r="I207" i="29"/>
  <c r="J207" i="29"/>
  <c r="L207" i="29"/>
  <c r="N207" i="29"/>
  <c r="P207" i="29"/>
  <c r="D208" i="29"/>
  <c r="F208" i="29"/>
  <c r="H208" i="29"/>
  <c r="J208" i="29"/>
  <c r="L208" i="29"/>
  <c r="N208" i="29"/>
  <c r="P208" i="29"/>
  <c r="D209" i="29"/>
  <c r="F209" i="29"/>
  <c r="H209" i="29"/>
  <c r="J209" i="29"/>
  <c r="L209" i="29"/>
  <c r="N209" i="29"/>
  <c r="P209" i="29"/>
  <c r="D210" i="29"/>
  <c r="F210" i="29"/>
  <c r="H210" i="29"/>
  <c r="J210" i="29"/>
  <c r="L210" i="29"/>
  <c r="N210" i="29"/>
  <c r="P210" i="29"/>
  <c r="D211" i="29"/>
  <c r="F211" i="29"/>
  <c r="H211" i="29"/>
  <c r="J211" i="29"/>
  <c r="L211" i="29"/>
  <c r="N211" i="29"/>
  <c r="P211" i="29"/>
  <c r="D212" i="29"/>
  <c r="F212" i="29"/>
  <c r="H212" i="29"/>
  <c r="J212" i="29"/>
  <c r="L212" i="29"/>
  <c r="N212" i="29"/>
  <c r="P212" i="29"/>
  <c r="D213" i="29"/>
  <c r="F213" i="29"/>
  <c r="H213" i="29"/>
  <c r="J213" i="29"/>
  <c r="L213" i="29"/>
  <c r="N213" i="29"/>
  <c r="P213" i="29"/>
  <c r="D214" i="29"/>
  <c r="F214" i="29"/>
  <c r="H214" i="29"/>
  <c r="J214" i="29"/>
  <c r="L214" i="29"/>
  <c r="N214" i="29"/>
  <c r="P214" i="29"/>
  <c r="D215" i="29"/>
  <c r="F215" i="29"/>
  <c r="H215" i="29"/>
  <c r="J215" i="29"/>
  <c r="L215" i="29"/>
  <c r="N215" i="29"/>
  <c r="P215" i="29"/>
  <c r="D216" i="29"/>
  <c r="F216" i="29"/>
  <c r="H216" i="29"/>
  <c r="J216" i="29"/>
  <c r="L216" i="29"/>
  <c r="N216" i="29"/>
  <c r="P216" i="29"/>
  <c r="D217" i="29"/>
  <c r="F217" i="29"/>
  <c r="H217" i="29"/>
  <c r="J217" i="29"/>
  <c r="L217" i="29"/>
  <c r="N217" i="29"/>
  <c r="P217" i="29"/>
  <c r="D219" i="29"/>
  <c r="F219" i="29"/>
  <c r="H219" i="29"/>
  <c r="J219" i="29"/>
  <c r="L219" i="29"/>
  <c r="N219" i="29"/>
  <c r="P219" i="29"/>
  <c r="D220" i="29"/>
  <c r="F220" i="29"/>
  <c r="H220" i="29"/>
  <c r="J220" i="29"/>
  <c r="L220" i="29"/>
  <c r="N220" i="29"/>
  <c r="P220" i="29"/>
  <c r="D221" i="29"/>
  <c r="F221" i="29"/>
  <c r="H221" i="29"/>
  <c r="J221" i="29"/>
  <c r="L221" i="29"/>
  <c r="N221" i="29"/>
  <c r="P221" i="29"/>
  <c r="D222" i="29"/>
  <c r="F222" i="29"/>
  <c r="H222" i="29"/>
  <c r="J222" i="29"/>
  <c r="L222" i="29"/>
  <c r="N222" i="29"/>
  <c r="P222" i="29"/>
  <c r="D224" i="29"/>
  <c r="F224" i="29"/>
  <c r="H224" i="29"/>
  <c r="J224" i="29"/>
  <c r="L224" i="29"/>
  <c r="N224" i="29"/>
  <c r="P224" i="29"/>
  <c r="C225" i="29"/>
  <c r="D225" i="29"/>
  <c r="F225" i="29"/>
  <c r="H225" i="29"/>
  <c r="J225" i="29"/>
  <c r="L225" i="29"/>
  <c r="N225" i="29"/>
  <c r="P225" i="29"/>
  <c r="C226" i="29"/>
  <c r="D226" i="29"/>
  <c r="F226" i="29"/>
  <c r="H226" i="29"/>
  <c r="J226" i="29"/>
  <c r="L226" i="29"/>
  <c r="N226" i="29"/>
  <c r="P226" i="29"/>
  <c r="C227" i="29"/>
  <c r="D227" i="29"/>
  <c r="F227" i="29"/>
  <c r="H227" i="29"/>
  <c r="J227" i="29"/>
  <c r="L227" i="29"/>
  <c r="N227" i="29"/>
  <c r="P227" i="29"/>
  <c r="C228" i="29"/>
  <c r="D228" i="29"/>
  <c r="F228" i="29"/>
  <c r="H228" i="29"/>
  <c r="J228" i="29"/>
  <c r="L228" i="29"/>
  <c r="N228" i="29"/>
  <c r="P228" i="29"/>
  <c r="C229" i="29"/>
  <c r="D229" i="29"/>
  <c r="F229" i="29"/>
  <c r="H229" i="29"/>
  <c r="J229" i="29"/>
  <c r="L229" i="29"/>
  <c r="N229" i="29"/>
  <c r="P229" i="29"/>
  <c r="C230" i="29"/>
  <c r="D230" i="29"/>
  <c r="F230" i="29"/>
  <c r="H230" i="29"/>
  <c r="J230" i="29"/>
  <c r="L230" i="29"/>
  <c r="N230" i="29"/>
  <c r="P230" i="29"/>
  <c r="C231" i="29"/>
  <c r="D231" i="29"/>
  <c r="F231" i="29"/>
  <c r="H231" i="29"/>
  <c r="J231" i="29"/>
  <c r="L231" i="29"/>
  <c r="N231" i="29"/>
  <c r="P231" i="29"/>
  <c r="C232" i="29"/>
  <c r="D232" i="29"/>
  <c r="F232" i="29"/>
  <c r="H232" i="29"/>
  <c r="J232" i="29"/>
  <c r="L232" i="29"/>
  <c r="N232" i="29"/>
  <c r="P232" i="29"/>
  <c r="B233" i="29"/>
  <c r="F233" i="29"/>
  <c r="G233" i="29"/>
  <c r="H233" i="29"/>
  <c r="I233" i="29"/>
  <c r="J233" i="29"/>
  <c r="K233" i="29"/>
  <c r="L233" i="29"/>
  <c r="M233" i="29"/>
  <c r="N233" i="29"/>
  <c r="O233" i="29"/>
  <c r="P233" i="29"/>
  <c r="D1" i="20"/>
  <c r="D200" i="20" s="1"/>
  <c r="D2" i="20"/>
  <c r="D201" i="20" s="1"/>
  <c r="D6" i="20"/>
  <c r="D205" i="20" s="1"/>
  <c r="H6" i="20"/>
  <c r="H205" i="20" s="1"/>
  <c r="L10" i="20"/>
  <c r="L209" i="20" s="1"/>
  <c r="N10" i="20"/>
  <c r="N209" i="20" s="1"/>
  <c r="L11" i="20"/>
  <c r="L210" i="20" s="1"/>
  <c r="N11" i="20"/>
  <c r="N210" i="20" s="1"/>
  <c r="L12" i="20"/>
  <c r="L211" i="20" s="1"/>
  <c r="N12" i="20"/>
  <c r="N211" i="20" s="1"/>
  <c r="D13" i="20"/>
  <c r="D212" i="20" s="1"/>
  <c r="F13" i="20"/>
  <c r="H13" i="20"/>
  <c r="H212" i="20" s="1"/>
  <c r="J13" i="20"/>
  <c r="J212" i="20" s="1"/>
  <c r="L15" i="20"/>
  <c r="L214" i="20" s="1"/>
  <c r="N15" i="20"/>
  <c r="N214" i="20" s="1"/>
  <c r="L16" i="20"/>
  <c r="L215" i="20" s="1"/>
  <c r="N16" i="20"/>
  <c r="N215" i="20" s="1"/>
  <c r="L17" i="20"/>
  <c r="L216" i="20" s="1"/>
  <c r="N17" i="20"/>
  <c r="N216" i="20" s="1"/>
  <c r="L18" i="20"/>
  <c r="L217" i="20" s="1"/>
  <c r="N18" i="20"/>
  <c r="N217" i="20" s="1"/>
  <c r="L19" i="20"/>
  <c r="L218" i="20" s="1"/>
  <c r="N19" i="20"/>
  <c r="N218" i="20" s="1"/>
  <c r="L20" i="20"/>
  <c r="L219" i="20" s="1"/>
  <c r="N20" i="20"/>
  <c r="N219" i="20" s="1"/>
  <c r="L21" i="20"/>
  <c r="L220" i="20" s="1"/>
  <c r="N21" i="20"/>
  <c r="N220" i="20" s="1"/>
  <c r="D22" i="20"/>
  <c r="D221" i="20" s="1"/>
  <c r="F22" i="20"/>
  <c r="F221" i="20" s="1"/>
  <c r="H22" i="20"/>
  <c r="H221" i="20" s="1"/>
  <c r="J22" i="20"/>
  <c r="J221" i="20" s="1"/>
  <c r="L24" i="20"/>
  <c r="L223" i="20" s="1"/>
  <c r="N24" i="20"/>
  <c r="N223" i="20" s="1"/>
  <c r="L25" i="20"/>
  <c r="L224" i="20" s="1"/>
  <c r="N25" i="20"/>
  <c r="N224" i="20" s="1"/>
  <c r="L26" i="20"/>
  <c r="L225" i="20" s="1"/>
  <c r="N26" i="20"/>
  <c r="N225" i="20" s="1"/>
  <c r="L27" i="20"/>
  <c r="L226" i="20" s="1"/>
  <c r="N27" i="20"/>
  <c r="N226" i="20" s="1"/>
  <c r="L28" i="20"/>
  <c r="L227" i="20" s="1"/>
  <c r="N28" i="20"/>
  <c r="N227" i="20" s="1"/>
  <c r="N29" i="20"/>
  <c r="N228" i="20" s="1"/>
  <c r="L30" i="20"/>
  <c r="L229" i="20" s="1"/>
  <c r="N30" i="20"/>
  <c r="N229" i="20" s="1"/>
  <c r="L31" i="20"/>
  <c r="L230" i="20" s="1"/>
  <c r="N31" i="20"/>
  <c r="N230" i="20" s="1"/>
  <c r="D32" i="20"/>
  <c r="D231" i="20" s="1"/>
  <c r="F32" i="20"/>
  <c r="F231" i="20" s="1"/>
  <c r="H32" i="20"/>
  <c r="H231" i="20" s="1"/>
  <c r="J32" i="20"/>
  <c r="L34" i="20"/>
  <c r="L233" i="20" s="1"/>
  <c r="N34" i="20"/>
  <c r="N233" i="20" s="1"/>
  <c r="L35" i="20"/>
  <c r="L234" i="20" s="1"/>
  <c r="N35" i="20"/>
  <c r="N234" i="20" s="1"/>
  <c r="L36" i="20"/>
  <c r="L235" i="20" s="1"/>
  <c r="N36" i="20"/>
  <c r="N235" i="20" s="1"/>
  <c r="L37" i="20"/>
  <c r="L236" i="20" s="1"/>
  <c r="N37" i="20"/>
  <c r="N236" i="20" s="1"/>
  <c r="L38" i="20"/>
  <c r="L237" i="20" s="1"/>
  <c r="N38" i="20"/>
  <c r="N237" i="20" s="1"/>
  <c r="L39" i="20"/>
  <c r="L238" i="20" s="1"/>
  <c r="N39" i="20"/>
  <c r="N238" i="20" s="1"/>
  <c r="D40" i="20"/>
  <c r="F40" i="20"/>
  <c r="F239" i="20" s="1"/>
  <c r="H40" i="20"/>
  <c r="H239" i="20" s="1"/>
  <c r="J40" i="20"/>
  <c r="J239" i="20" s="1"/>
  <c r="L42" i="20"/>
  <c r="L241" i="20" s="1"/>
  <c r="N42" i="20"/>
  <c r="N241" i="20" s="1"/>
  <c r="D49" i="20"/>
  <c r="D246" i="20" s="1"/>
  <c r="J49" i="20"/>
  <c r="J246" i="20" s="1"/>
  <c r="P52" i="20"/>
  <c r="P248" i="20" s="1"/>
  <c r="B179" i="20"/>
  <c r="B180" i="20"/>
  <c r="B200" i="20"/>
  <c r="C200" i="20"/>
  <c r="E200" i="20"/>
  <c r="F200" i="20"/>
  <c r="G200" i="20"/>
  <c r="H200" i="20"/>
  <c r="I200" i="20"/>
  <c r="J200" i="20"/>
  <c r="K200" i="20"/>
  <c r="L200" i="20"/>
  <c r="M200" i="20"/>
  <c r="N200" i="20"/>
  <c r="O200" i="20"/>
  <c r="P200" i="20"/>
  <c r="B201" i="20"/>
  <c r="C201" i="20"/>
  <c r="E201" i="20"/>
  <c r="F201" i="20"/>
  <c r="G201" i="20"/>
  <c r="H201" i="20"/>
  <c r="I201" i="20"/>
  <c r="J201" i="20"/>
  <c r="K201" i="20"/>
  <c r="L201" i="20"/>
  <c r="M201" i="20"/>
  <c r="N201" i="20"/>
  <c r="O201" i="20"/>
  <c r="P201" i="20"/>
  <c r="B202" i="20"/>
  <c r="C202" i="20"/>
  <c r="D202" i="20"/>
  <c r="E202" i="20"/>
  <c r="F202" i="20"/>
  <c r="G202" i="20"/>
  <c r="H202" i="20"/>
  <c r="I202" i="20"/>
  <c r="J202" i="20"/>
  <c r="K202" i="20"/>
  <c r="L202" i="20"/>
  <c r="M202" i="20"/>
  <c r="N202" i="20"/>
  <c r="O202" i="20"/>
  <c r="P202" i="20"/>
  <c r="B203" i="20"/>
  <c r="C203" i="20"/>
  <c r="D203" i="20"/>
  <c r="E203" i="20"/>
  <c r="F203" i="20"/>
  <c r="G203" i="20"/>
  <c r="H203" i="20"/>
  <c r="I203" i="20"/>
  <c r="J203" i="20"/>
  <c r="K203" i="20"/>
  <c r="L203" i="20"/>
  <c r="M203" i="20"/>
  <c r="N203" i="20"/>
  <c r="O203" i="20"/>
  <c r="P203" i="20"/>
  <c r="B204" i="20"/>
  <c r="C204" i="20"/>
  <c r="D204" i="20"/>
  <c r="E204" i="20"/>
  <c r="F204" i="20"/>
  <c r="G204" i="20"/>
  <c r="H204" i="20"/>
  <c r="I204" i="20"/>
  <c r="J204" i="20"/>
  <c r="K204" i="20"/>
  <c r="L204" i="20"/>
  <c r="M204" i="20"/>
  <c r="N204" i="20"/>
  <c r="O204" i="20"/>
  <c r="P204" i="20"/>
  <c r="B205" i="20"/>
  <c r="C205" i="20"/>
  <c r="G205" i="20"/>
  <c r="K205" i="20"/>
  <c r="L205" i="20"/>
  <c r="O205" i="20"/>
  <c r="P205" i="20"/>
  <c r="B206" i="20"/>
  <c r="C206" i="20"/>
  <c r="D206" i="20"/>
  <c r="E206" i="20"/>
  <c r="F206" i="20"/>
  <c r="G206" i="20"/>
  <c r="H206" i="20"/>
  <c r="I206" i="20"/>
  <c r="J206" i="20"/>
  <c r="K206" i="20"/>
  <c r="L206" i="20"/>
  <c r="M206" i="20"/>
  <c r="N206" i="20"/>
  <c r="O206" i="20"/>
  <c r="P206" i="20"/>
  <c r="B207" i="20"/>
  <c r="C207" i="20"/>
  <c r="D207" i="20"/>
  <c r="E207" i="20"/>
  <c r="F207" i="20"/>
  <c r="G207" i="20"/>
  <c r="H207" i="20"/>
  <c r="I207" i="20"/>
  <c r="J207" i="20"/>
  <c r="K207" i="20"/>
  <c r="L207" i="20"/>
  <c r="M207" i="20"/>
  <c r="N207" i="20"/>
  <c r="O207" i="20"/>
  <c r="P207" i="20"/>
  <c r="B208" i="20"/>
  <c r="C208" i="20"/>
  <c r="D208" i="20"/>
  <c r="E208" i="20"/>
  <c r="F208" i="20"/>
  <c r="G208" i="20"/>
  <c r="H208" i="20"/>
  <c r="I208" i="20"/>
  <c r="J208" i="20"/>
  <c r="K208" i="20"/>
  <c r="L208" i="20"/>
  <c r="M208" i="20"/>
  <c r="N208" i="20"/>
  <c r="O208" i="20"/>
  <c r="P208" i="20"/>
  <c r="D209" i="20"/>
  <c r="E209" i="20"/>
  <c r="F209" i="20"/>
  <c r="G209" i="20"/>
  <c r="H209" i="20"/>
  <c r="I209" i="20"/>
  <c r="J209" i="20"/>
  <c r="K209" i="20"/>
  <c r="M209" i="20"/>
  <c r="O209" i="20"/>
  <c r="P209" i="20"/>
  <c r="D210" i="20"/>
  <c r="E210" i="20"/>
  <c r="F210" i="20"/>
  <c r="G210" i="20"/>
  <c r="H210" i="20"/>
  <c r="I210" i="20"/>
  <c r="J210" i="20"/>
  <c r="K210" i="20"/>
  <c r="M210" i="20"/>
  <c r="O210" i="20"/>
  <c r="P210" i="20"/>
  <c r="D211" i="20"/>
  <c r="E211" i="20"/>
  <c r="F211" i="20"/>
  <c r="G211" i="20"/>
  <c r="H211" i="20"/>
  <c r="I211" i="20"/>
  <c r="J211" i="20"/>
  <c r="K211" i="20"/>
  <c r="M211" i="20"/>
  <c r="O211" i="20"/>
  <c r="P211" i="20"/>
  <c r="E212" i="20"/>
  <c r="G212" i="20"/>
  <c r="I212" i="20"/>
  <c r="K212" i="20"/>
  <c r="M212" i="20"/>
  <c r="O212" i="20"/>
  <c r="P212" i="20"/>
  <c r="B213" i="20"/>
  <c r="C213" i="20"/>
  <c r="D213" i="20"/>
  <c r="E213" i="20"/>
  <c r="F213" i="20"/>
  <c r="G213" i="20"/>
  <c r="H213" i="20"/>
  <c r="I213" i="20"/>
  <c r="J213" i="20"/>
  <c r="K213" i="20"/>
  <c r="L213" i="20"/>
  <c r="M213" i="20"/>
  <c r="N213" i="20"/>
  <c r="O213" i="20"/>
  <c r="P213" i="20"/>
  <c r="B214" i="20"/>
  <c r="C214" i="20"/>
  <c r="D214" i="20"/>
  <c r="E214" i="20"/>
  <c r="F214" i="20"/>
  <c r="G214" i="20"/>
  <c r="H214" i="20"/>
  <c r="I214" i="20"/>
  <c r="J214" i="20"/>
  <c r="K214" i="20"/>
  <c r="M214" i="20"/>
  <c r="O214" i="20"/>
  <c r="P214" i="20"/>
  <c r="D215" i="20"/>
  <c r="E215" i="20"/>
  <c r="F215" i="20"/>
  <c r="G215" i="20"/>
  <c r="H215" i="20"/>
  <c r="I215" i="20"/>
  <c r="J215" i="20"/>
  <c r="K215" i="20"/>
  <c r="M215" i="20"/>
  <c r="O215" i="20"/>
  <c r="P215" i="20"/>
  <c r="D216" i="20"/>
  <c r="E216" i="20"/>
  <c r="F216" i="20"/>
  <c r="G216" i="20"/>
  <c r="H216" i="20"/>
  <c r="I216" i="20"/>
  <c r="J216" i="20"/>
  <c r="K216" i="20"/>
  <c r="M216" i="20"/>
  <c r="O216" i="20"/>
  <c r="P216" i="20"/>
  <c r="D217" i="20"/>
  <c r="E217" i="20"/>
  <c r="F217" i="20"/>
  <c r="G217" i="20"/>
  <c r="H217" i="20"/>
  <c r="I217" i="20"/>
  <c r="J217" i="20"/>
  <c r="K217" i="20"/>
  <c r="M217" i="20"/>
  <c r="O217" i="20"/>
  <c r="P217" i="20"/>
  <c r="D218" i="20"/>
  <c r="E218" i="20"/>
  <c r="F218" i="20"/>
  <c r="G218" i="20"/>
  <c r="H218" i="20"/>
  <c r="I218" i="20"/>
  <c r="J218" i="20"/>
  <c r="K218" i="20"/>
  <c r="M218" i="20"/>
  <c r="O218" i="20"/>
  <c r="P218" i="20"/>
  <c r="D219" i="20"/>
  <c r="E219" i="20"/>
  <c r="F219" i="20"/>
  <c r="G219" i="20"/>
  <c r="H219" i="20"/>
  <c r="I219" i="20"/>
  <c r="J219" i="20"/>
  <c r="K219" i="20"/>
  <c r="M219" i="20"/>
  <c r="O219" i="20"/>
  <c r="P219" i="20"/>
  <c r="D220" i="20"/>
  <c r="E220" i="20"/>
  <c r="F220" i="20"/>
  <c r="G220" i="20"/>
  <c r="H220" i="20"/>
  <c r="I220" i="20"/>
  <c r="J220" i="20"/>
  <c r="K220" i="20"/>
  <c r="M220" i="20"/>
  <c r="O220" i="20"/>
  <c r="P220" i="20"/>
  <c r="E221" i="20"/>
  <c r="G221" i="20"/>
  <c r="I221" i="20"/>
  <c r="K221" i="20"/>
  <c r="M221" i="20"/>
  <c r="O221" i="20"/>
  <c r="P221" i="20"/>
  <c r="B222" i="20"/>
  <c r="C222" i="20"/>
  <c r="D222" i="20"/>
  <c r="E222" i="20"/>
  <c r="F222" i="20"/>
  <c r="G222" i="20"/>
  <c r="H222" i="20"/>
  <c r="I222" i="20"/>
  <c r="J222" i="20"/>
  <c r="K222" i="20"/>
  <c r="L222" i="20"/>
  <c r="M222" i="20"/>
  <c r="N222" i="20"/>
  <c r="O222" i="20"/>
  <c r="P222" i="20"/>
  <c r="D223" i="20"/>
  <c r="E223" i="20"/>
  <c r="F223" i="20"/>
  <c r="G223" i="20"/>
  <c r="H223" i="20"/>
  <c r="I223" i="20"/>
  <c r="J223" i="20"/>
  <c r="K223" i="20"/>
  <c r="M223" i="20"/>
  <c r="O223" i="20"/>
  <c r="P223" i="20"/>
  <c r="D224" i="20"/>
  <c r="E224" i="20"/>
  <c r="F224" i="20"/>
  <c r="G224" i="20"/>
  <c r="H224" i="20"/>
  <c r="I224" i="20"/>
  <c r="J224" i="20"/>
  <c r="K224" i="20"/>
  <c r="M224" i="20"/>
  <c r="O224" i="20"/>
  <c r="P224" i="20"/>
  <c r="D225" i="20"/>
  <c r="E225" i="20"/>
  <c r="F225" i="20"/>
  <c r="G225" i="20"/>
  <c r="H225" i="20"/>
  <c r="I225" i="20"/>
  <c r="J225" i="20"/>
  <c r="K225" i="20"/>
  <c r="M225" i="20"/>
  <c r="O225" i="20"/>
  <c r="P225" i="20"/>
  <c r="D226" i="20"/>
  <c r="E226" i="20"/>
  <c r="F226" i="20"/>
  <c r="G226" i="20"/>
  <c r="H226" i="20"/>
  <c r="I226" i="20"/>
  <c r="J226" i="20"/>
  <c r="K226" i="20"/>
  <c r="M226" i="20"/>
  <c r="O226" i="20"/>
  <c r="P226" i="20"/>
  <c r="D227" i="20"/>
  <c r="E227" i="20"/>
  <c r="F227" i="20"/>
  <c r="G227" i="20"/>
  <c r="H227" i="20"/>
  <c r="I227" i="20"/>
  <c r="J227" i="20"/>
  <c r="K227" i="20"/>
  <c r="M227" i="20"/>
  <c r="O227" i="20"/>
  <c r="P227" i="20"/>
  <c r="D228" i="20"/>
  <c r="E228" i="20"/>
  <c r="F228" i="20"/>
  <c r="G228" i="20"/>
  <c r="H228" i="20"/>
  <c r="I228" i="20"/>
  <c r="J228" i="20"/>
  <c r="K228" i="20"/>
  <c r="L228" i="20"/>
  <c r="M228" i="20"/>
  <c r="O228" i="20"/>
  <c r="P228" i="20"/>
  <c r="D229" i="20"/>
  <c r="E229" i="20"/>
  <c r="F229" i="20"/>
  <c r="G229" i="20"/>
  <c r="H229" i="20"/>
  <c r="I229" i="20"/>
  <c r="J229" i="20"/>
  <c r="K229" i="20"/>
  <c r="M229" i="20"/>
  <c r="O229" i="20"/>
  <c r="P229" i="20"/>
  <c r="D230" i="20"/>
  <c r="E230" i="20"/>
  <c r="F230" i="20"/>
  <c r="G230" i="20"/>
  <c r="H230" i="20"/>
  <c r="I230" i="20"/>
  <c r="J230" i="20"/>
  <c r="K230" i="20"/>
  <c r="M230" i="20"/>
  <c r="O230" i="20"/>
  <c r="P230" i="20"/>
  <c r="E231" i="20"/>
  <c r="G231" i="20"/>
  <c r="I231" i="20"/>
  <c r="K231" i="20"/>
  <c r="M231" i="20"/>
  <c r="O231" i="20"/>
  <c r="P231" i="20"/>
  <c r="B232" i="20"/>
  <c r="C232" i="20"/>
  <c r="D232" i="20"/>
  <c r="E232" i="20"/>
  <c r="F232" i="20"/>
  <c r="G232" i="20"/>
  <c r="H232" i="20"/>
  <c r="I232" i="20"/>
  <c r="J232" i="20"/>
  <c r="K232" i="20"/>
  <c r="L232" i="20"/>
  <c r="M232" i="20"/>
  <c r="N232" i="20"/>
  <c r="O232" i="20"/>
  <c r="P232" i="20"/>
  <c r="D233" i="20"/>
  <c r="E233" i="20"/>
  <c r="F233" i="20"/>
  <c r="G233" i="20"/>
  <c r="H233" i="20"/>
  <c r="I233" i="20"/>
  <c r="J233" i="20"/>
  <c r="K233" i="20"/>
  <c r="M233" i="20"/>
  <c r="O233" i="20"/>
  <c r="P233" i="20"/>
  <c r="D234" i="20"/>
  <c r="E234" i="20"/>
  <c r="F234" i="20"/>
  <c r="G234" i="20"/>
  <c r="H234" i="20"/>
  <c r="I234" i="20"/>
  <c r="J234" i="20"/>
  <c r="K234" i="20"/>
  <c r="M234" i="20"/>
  <c r="O234" i="20"/>
  <c r="P234" i="20"/>
  <c r="D235" i="20"/>
  <c r="E235" i="20"/>
  <c r="F235" i="20"/>
  <c r="G235" i="20"/>
  <c r="H235" i="20"/>
  <c r="I235" i="20"/>
  <c r="J235" i="20"/>
  <c r="K235" i="20"/>
  <c r="M235" i="20"/>
  <c r="O235" i="20"/>
  <c r="P235" i="20"/>
  <c r="D236" i="20"/>
  <c r="E236" i="20"/>
  <c r="F236" i="20"/>
  <c r="G236" i="20"/>
  <c r="H236" i="20"/>
  <c r="I236" i="20"/>
  <c r="J236" i="20"/>
  <c r="K236" i="20"/>
  <c r="M236" i="20"/>
  <c r="O236" i="20"/>
  <c r="P236" i="20"/>
  <c r="D237" i="20"/>
  <c r="E237" i="20"/>
  <c r="F237" i="20"/>
  <c r="G237" i="20"/>
  <c r="H237" i="20"/>
  <c r="I237" i="20"/>
  <c r="J237" i="20"/>
  <c r="K237" i="20"/>
  <c r="M237" i="20"/>
  <c r="O237" i="20"/>
  <c r="P237" i="20"/>
  <c r="D238" i="20"/>
  <c r="E238" i="20"/>
  <c r="F238" i="20"/>
  <c r="G238" i="20"/>
  <c r="H238" i="20"/>
  <c r="I238" i="20"/>
  <c r="J238" i="20"/>
  <c r="K238" i="20"/>
  <c r="M238" i="20"/>
  <c r="O238" i="20"/>
  <c r="P238" i="20"/>
  <c r="E239" i="20"/>
  <c r="G239" i="20"/>
  <c r="I239" i="20"/>
  <c r="K239" i="20"/>
  <c r="M239" i="20"/>
  <c r="O239" i="20"/>
  <c r="P239" i="20"/>
  <c r="B240" i="20"/>
  <c r="C240" i="20"/>
  <c r="D240" i="20"/>
  <c r="E240" i="20"/>
  <c r="F240" i="20"/>
  <c r="G240" i="20"/>
  <c r="H240" i="20"/>
  <c r="I240" i="20"/>
  <c r="J240" i="20"/>
  <c r="K240" i="20"/>
  <c r="L240" i="20"/>
  <c r="M240" i="20"/>
  <c r="N240" i="20"/>
  <c r="O240" i="20"/>
  <c r="P240" i="20"/>
  <c r="D241" i="20"/>
  <c r="E241" i="20"/>
  <c r="F241" i="20"/>
  <c r="G241" i="20"/>
  <c r="H241" i="20"/>
  <c r="I241" i="20"/>
  <c r="J241" i="20"/>
  <c r="K241" i="20"/>
  <c r="M241" i="20"/>
  <c r="O241" i="20"/>
  <c r="P241" i="20"/>
  <c r="B242" i="20"/>
  <c r="C242" i="20"/>
  <c r="D242" i="20"/>
  <c r="E242" i="20"/>
  <c r="F242" i="20"/>
  <c r="G242" i="20"/>
  <c r="H242" i="20"/>
  <c r="I242" i="20"/>
  <c r="J242" i="20"/>
  <c r="K242" i="20"/>
  <c r="L242" i="20"/>
  <c r="M242" i="20"/>
  <c r="N242" i="20"/>
  <c r="O242" i="20"/>
  <c r="P242" i="20"/>
  <c r="B243" i="20"/>
  <c r="C243" i="20"/>
  <c r="E243" i="20"/>
  <c r="G243" i="20"/>
  <c r="I243" i="20"/>
  <c r="K243" i="20"/>
  <c r="M243" i="20"/>
  <c r="O243" i="20"/>
  <c r="P243" i="20"/>
  <c r="B244" i="20"/>
  <c r="C244" i="20"/>
  <c r="D244" i="20"/>
  <c r="E244" i="20"/>
  <c r="F244" i="20"/>
  <c r="G244" i="20"/>
  <c r="H244" i="20"/>
  <c r="I244" i="20"/>
  <c r="J244" i="20"/>
  <c r="K244" i="20"/>
  <c r="L244" i="20"/>
  <c r="M244" i="20"/>
  <c r="N244" i="20"/>
  <c r="O244" i="20"/>
  <c r="P244" i="20"/>
  <c r="B245" i="20"/>
  <c r="C245" i="20"/>
  <c r="G245" i="20"/>
  <c r="H245" i="20"/>
  <c r="I245" i="20"/>
  <c r="J245" i="20"/>
  <c r="K245" i="20"/>
  <c r="L245" i="20"/>
  <c r="M245" i="20"/>
  <c r="N245" i="20"/>
  <c r="O245" i="20"/>
  <c r="P245" i="20"/>
  <c r="B246" i="20"/>
  <c r="C246" i="20"/>
  <c r="I246" i="20"/>
  <c r="O246" i="20"/>
  <c r="P246" i="20"/>
  <c r="B247" i="20"/>
  <c r="C247" i="20"/>
  <c r="D247" i="20"/>
  <c r="E247" i="20"/>
  <c r="F247" i="20"/>
  <c r="G247" i="20"/>
  <c r="J247" i="20"/>
  <c r="K247" i="20"/>
  <c r="L247" i="20"/>
  <c r="M247" i="20"/>
  <c r="P247" i="20"/>
  <c r="B248" i="20"/>
  <c r="C248" i="20"/>
  <c r="D248" i="20"/>
  <c r="E248" i="20"/>
  <c r="F248" i="20"/>
  <c r="G248" i="20"/>
  <c r="H248" i="20"/>
  <c r="I248" i="20"/>
  <c r="J248" i="20"/>
  <c r="K248" i="20"/>
  <c r="L248" i="20"/>
  <c r="M248" i="20"/>
  <c r="N248" i="20"/>
  <c r="O248" i="20"/>
  <c r="D1" i="30"/>
  <c r="B190" i="30" s="1"/>
  <c r="D3" i="30"/>
  <c r="B192" i="30" s="1"/>
  <c r="D5" i="30"/>
  <c r="D196" i="30" s="1"/>
  <c r="D16" i="30"/>
  <c r="D207" i="30" s="1"/>
  <c r="H16" i="30"/>
  <c r="D23" i="30"/>
  <c r="H23" i="30"/>
  <c r="H214" i="30" s="1"/>
  <c r="H30" i="30"/>
  <c r="H221" i="30" s="1"/>
  <c r="B191" i="30"/>
  <c r="B196" i="30"/>
  <c r="C196" i="30"/>
  <c r="G196" i="30"/>
  <c r="C197" i="30"/>
  <c r="D197" i="30"/>
  <c r="E197" i="30"/>
  <c r="F197" i="30"/>
  <c r="G197" i="30"/>
  <c r="H197" i="30"/>
  <c r="I197" i="30"/>
  <c r="J197" i="30"/>
  <c r="B198" i="30"/>
  <c r="C198" i="30"/>
  <c r="D198" i="30"/>
  <c r="E198" i="30"/>
  <c r="F198" i="30"/>
  <c r="G198" i="30"/>
  <c r="H198" i="30"/>
  <c r="I198" i="30"/>
  <c r="J198" i="30"/>
  <c r="C199" i="30"/>
  <c r="D199" i="30"/>
  <c r="E199" i="30"/>
  <c r="G199" i="30"/>
  <c r="H199" i="30"/>
  <c r="I199" i="30"/>
  <c r="C200" i="30"/>
  <c r="D200" i="30"/>
  <c r="E200" i="30"/>
  <c r="G200" i="30"/>
  <c r="H200" i="30"/>
  <c r="I200" i="30"/>
  <c r="C201" i="30"/>
  <c r="D201" i="30"/>
  <c r="E201" i="30"/>
  <c r="G201" i="30"/>
  <c r="H201" i="30"/>
  <c r="I201" i="30"/>
  <c r="C202" i="30"/>
  <c r="D202" i="30"/>
  <c r="E202" i="30"/>
  <c r="G202" i="30"/>
  <c r="H202" i="30"/>
  <c r="I202" i="30"/>
  <c r="C203" i="30"/>
  <c r="D203" i="30"/>
  <c r="E203" i="30"/>
  <c r="G203" i="30"/>
  <c r="H203" i="30"/>
  <c r="I203" i="30"/>
  <c r="C204" i="30"/>
  <c r="D204" i="30"/>
  <c r="E204" i="30"/>
  <c r="G204" i="30"/>
  <c r="H204" i="30"/>
  <c r="I204" i="30"/>
  <c r="C205" i="30"/>
  <c r="D205" i="30"/>
  <c r="E205" i="30"/>
  <c r="G205" i="30"/>
  <c r="H205" i="30"/>
  <c r="I205" i="30"/>
  <c r="C206" i="30"/>
  <c r="D206" i="30"/>
  <c r="E206" i="30"/>
  <c r="G206" i="30"/>
  <c r="H206" i="30"/>
  <c r="I206" i="30"/>
  <c r="C207" i="30"/>
  <c r="E207" i="30"/>
  <c r="G207" i="30"/>
  <c r="I207" i="30"/>
  <c r="B208" i="30"/>
  <c r="C208" i="30"/>
  <c r="D208" i="30"/>
  <c r="E208" i="30"/>
  <c r="F208" i="30"/>
  <c r="G208" i="30"/>
  <c r="H208" i="30"/>
  <c r="I208" i="30"/>
  <c r="J208" i="30"/>
  <c r="C209" i="30"/>
  <c r="D209" i="30"/>
  <c r="E209" i="30"/>
  <c r="G209" i="30"/>
  <c r="H209" i="30"/>
  <c r="I209" i="30"/>
  <c r="C210" i="30"/>
  <c r="D210" i="30"/>
  <c r="E210" i="30"/>
  <c r="G210" i="30"/>
  <c r="H210" i="30"/>
  <c r="I210" i="30"/>
  <c r="C211" i="30"/>
  <c r="D211" i="30"/>
  <c r="E211" i="30"/>
  <c r="G211" i="30"/>
  <c r="H211" i="30"/>
  <c r="I211" i="30"/>
  <c r="C212" i="30"/>
  <c r="D212" i="30"/>
  <c r="E212" i="30"/>
  <c r="G212" i="30"/>
  <c r="H212" i="30"/>
  <c r="I212" i="30"/>
  <c r="C213" i="30"/>
  <c r="D213" i="30"/>
  <c r="E213" i="30"/>
  <c r="G213" i="30"/>
  <c r="H213" i="30"/>
  <c r="I213" i="30"/>
  <c r="C214" i="30"/>
  <c r="E214" i="30"/>
  <c r="G214" i="30"/>
  <c r="I214" i="30"/>
  <c r="B215" i="30"/>
  <c r="C215" i="30"/>
  <c r="D215" i="30"/>
  <c r="E215" i="30"/>
  <c r="F215" i="30"/>
  <c r="G215" i="30"/>
  <c r="H215" i="30"/>
  <c r="I215" i="30"/>
  <c r="J215" i="30"/>
  <c r="C216" i="30"/>
  <c r="E216" i="30"/>
  <c r="G216" i="30"/>
  <c r="I216" i="30"/>
  <c r="B217" i="30"/>
  <c r="C217" i="30"/>
  <c r="D217" i="30"/>
  <c r="E217" i="30"/>
  <c r="F217" i="30"/>
  <c r="G217" i="30"/>
  <c r="H217" i="30"/>
  <c r="I217" i="30"/>
  <c r="J217" i="30"/>
  <c r="B218" i="30"/>
  <c r="C218" i="30"/>
  <c r="D218" i="30"/>
  <c r="E218" i="30"/>
  <c r="F218" i="30"/>
  <c r="G218" i="30"/>
  <c r="H218" i="30"/>
  <c r="I218" i="30"/>
  <c r="J218" i="30"/>
  <c r="B219" i="30"/>
  <c r="C219" i="30"/>
  <c r="D219" i="30"/>
  <c r="E219" i="30"/>
  <c r="F219" i="30"/>
  <c r="G219" i="30"/>
  <c r="H219" i="30"/>
  <c r="I219" i="30"/>
  <c r="J219" i="30"/>
  <c r="B220" i="30"/>
  <c r="G220" i="30"/>
  <c r="H220" i="30"/>
  <c r="I220" i="30"/>
  <c r="J220" i="30"/>
  <c r="B221" i="30"/>
  <c r="C221" i="30"/>
  <c r="D221" i="30"/>
  <c r="E221" i="30"/>
  <c r="F221" i="30"/>
  <c r="G221" i="30"/>
  <c r="I221" i="30"/>
  <c r="B222" i="30"/>
  <c r="C222" i="30"/>
  <c r="D222" i="30"/>
  <c r="E222" i="30"/>
  <c r="F222" i="30"/>
  <c r="G222" i="30"/>
  <c r="H222" i="30"/>
  <c r="I222" i="30"/>
  <c r="J222" i="30"/>
  <c r="B223" i="30"/>
  <c r="C223" i="30"/>
  <c r="D223" i="30"/>
  <c r="E223" i="30"/>
  <c r="F223" i="30"/>
  <c r="G223" i="30"/>
  <c r="I223" i="30"/>
  <c r="B224" i="30"/>
  <c r="C224" i="30"/>
  <c r="D224" i="30"/>
  <c r="E224" i="30"/>
  <c r="F224" i="30"/>
  <c r="G224" i="30"/>
  <c r="H224" i="30"/>
  <c r="I224" i="30"/>
  <c r="J224" i="30"/>
  <c r="B225" i="30"/>
  <c r="C225" i="30"/>
  <c r="D225" i="30"/>
  <c r="E225" i="30"/>
  <c r="F225" i="30"/>
  <c r="G225" i="30"/>
  <c r="H225" i="30"/>
  <c r="I225" i="30"/>
  <c r="J225" i="30"/>
  <c r="B226" i="30"/>
  <c r="C226" i="30"/>
  <c r="D226" i="30"/>
  <c r="E226" i="30"/>
  <c r="F226" i="30"/>
  <c r="G226" i="30"/>
  <c r="H226" i="30"/>
  <c r="I226" i="30"/>
  <c r="J226" i="30"/>
  <c r="B227" i="30"/>
  <c r="C227" i="30"/>
  <c r="D227" i="30"/>
  <c r="E227" i="30"/>
  <c r="F227" i="30"/>
  <c r="G227" i="30"/>
  <c r="H227" i="30"/>
  <c r="I227" i="30"/>
  <c r="J227" i="30"/>
  <c r="B228" i="30"/>
  <c r="C228" i="30"/>
  <c r="D228" i="30"/>
  <c r="E228" i="30"/>
  <c r="F228" i="30"/>
  <c r="G228" i="30"/>
  <c r="H228" i="30"/>
  <c r="I228" i="30"/>
  <c r="J228" i="30"/>
  <c r="B229" i="30"/>
  <c r="C229" i="30"/>
  <c r="D229" i="30"/>
  <c r="E229" i="30"/>
  <c r="F229" i="30"/>
  <c r="G229" i="30"/>
  <c r="H229" i="30"/>
  <c r="I229" i="30"/>
  <c r="J229" i="30"/>
  <c r="B230" i="30"/>
  <c r="C230" i="30"/>
  <c r="D230" i="30"/>
  <c r="E230" i="30"/>
  <c r="F230" i="30"/>
  <c r="G230" i="30"/>
  <c r="H230" i="30"/>
  <c r="I230" i="30"/>
  <c r="J230" i="30"/>
  <c r="B231" i="30"/>
  <c r="C231" i="30"/>
  <c r="D231" i="30"/>
  <c r="E231" i="30"/>
  <c r="F231" i="30"/>
  <c r="G231" i="30"/>
  <c r="H231" i="30"/>
  <c r="I231" i="30"/>
  <c r="J231" i="30"/>
  <c r="B232" i="30"/>
  <c r="C232" i="30"/>
  <c r="D232" i="30"/>
  <c r="E232" i="30"/>
  <c r="F232" i="30"/>
  <c r="G232" i="30"/>
  <c r="H232" i="30"/>
  <c r="I232" i="30"/>
  <c r="J232" i="30"/>
  <c r="B233" i="30"/>
  <c r="C233" i="30"/>
  <c r="D233" i="30"/>
  <c r="E233" i="30"/>
  <c r="F233" i="30"/>
  <c r="G233" i="30"/>
  <c r="H233" i="30"/>
  <c r="I233" i="30"/>
  <c r="J233" i="30"/>
  <c r="C234" i="30"/>
  <c r="D234" i="30"/>
  <c r="E234" i="30"/>
  <c r="F234" i="30"/>
  <c r="G234" i="30"/>
  <c r="I234" i="30"/>
  <c r="D1" i="31"/>
  <c r="B202" i="31" s="1"/>
  <c r="D4" i="31"/>
  <c r="D207" i="31" s="1"/>
  <c r="B8" i="31"/>
  <c r="D8" i="31"/>
  <c r="D211" i="31" s="1"/>
  <c r="M23" i="31"/>
  <c r="M24" i="31"/>
  <c r="M25" i="31"/>
  <c r="N26" i="31"/>
  <c r="O26" i="31"/>
  <c r="B28" i="31"/>
  <c r="B237" i="31" s="1"/>
  <c r="B203" i="31"/>
  <c r="B207" i="31"/>
  <c r="C207" i="31"/>
  <c r="G207" i="31"/>
  <c r="I207" i="31"/>
  <c r="C208" i="31"/>
  <c r="D208" i="31"/>
  <c r="E208" i="31"/>
  <c r="F208" i="31"/>
  <c r="G208" i="31"/>
  <c r="H208" i="31"/>
  <c r="I208" i="31"/>
  <c r="J208" i="31"/>
  <c r="C209" i="31"/>
  <c r="D209" i="31"/>
  <c r="E209" i="31"/>
  <c r="F209" i="31"/>
  <c r="G209" i="31"/>
  <c r="H209" i="31"/>
  <c r="I209" i="31"/>
  <c r="J209" i="31"/>
  <c r="B210" i="31"/>
  <c r="C210" i="31"/>
  <c r="D210" i="31"/>
  <c r="E210" i="31"/>
  <c r="F210" i="31"/>
  <c r="G210" i="31"/>
  <c r="H210" i="31"/>
  <c r="I210" i="31"/>
  <c r="J210" i="31"/>
  <c r="C211" i="31"/>
  <c r="E211" i="31"/>
  <c r="G211" i="31"/>
  <c r="I211" i="31"/>
  <c r="J211" i="31"/>
  <c r="B238" i="31"/>
  <c r="B239" i="31"/>
  <c r="B240" i="31"/>
  <c r="B241" i="31"/>
  <c r="B242" i="31"/>
  <c r="E1" i="35"/>
  <c r="B197" i="35" s="1"/>
  <c r="E5" i="35"/>
  <c r="E202" i="35" s="1"/>
  <c r="E8" i="35"/>
  <c r="F8" i="35"/>
  <c r="E9" i="35"/>
  <c r="F9" i="35"/>
  <c r="E10" i="35"/>
  <c r="F10" i="35"/>
  <c r="E11" i="35"/>
  <c r="F11" i="35"/>
  <c r="E12" i="35"/>
  <c r="F12" i="35"/>
  <c r="E13" i="35"/>
  <c r="F13" i="35"/>
  <c r="E14" i="35"/>
  <c r="F14" i="35"/>
  <c r="E15" i="35"/>
  <c r="F15" i="35"/>
  <c r="E16" i="35"/>
  <c r="F16" i="35"/>
  <c r="E17" i="35"/>
  <c r="F17" i="35"/>
  <c r="E18" i="35"/>
  <c r="F18" i="35"/>
  <c r="E19" i="35"/>
  <c r="F19" i="35"/>
  <c r="E20" i="35"/>
  <c r="F20" i="35"/>
  <c r="E21" i="35"/>
  <c r="F21" i="35"/>
  <c r="E22" i="35"/>
  <c r="F22" i="35"/>
  <c r="E23" i="35"/>
  <c r="F23" i="35"/>
  <c r="E24" i="35"/>
  <c r="F24" i="35"/>
  <c r="E25" i="35"/>
  <c r="F25" i="35"/>
  <c r="E26" i="35"/>
  <c r="F26" i="35"/>
  <c r="E27" i="35"/>
  <c r="F27" i="35"/>
  <c r="E28" i="35"/>
  <c r="F28" i="35"/>
  <c r="E29" i="35"/>
  <c r="F29" i="35"/>
  <c r="E30" i="35"/>
  <c r="F30" i="35"/>
  <c r="E31" i="35"/>
  <c r="F31" i="35"/>
  <c r="E32" i="35"/>
  <c r="F32" i="35"/>
  <c r="E33" i="35"/>
  <c r="F33" i="35"/>
  <c r="E34" i="35"/>
  <c r="F34" i="35"/>
  <c r="E35" i="35"/>
  <c r="F35" i="35"/>
  <c r="E36" i="35"/>
  <c r="F36" i="35"/>
  <c r="E37" i="35"/>
  <c r="F37" i="35"/>
  <c r="E38" i="35"/>
  <c r="F38" i="35"/>
  <c r="E41" i="35"/>
  <c r="F41" i="35"/>
  <c r="E42" i="35"/>
  <c r="F42" i="35"/>
  <c r="E43" i="35"/>
  <c r="F43" i="35"/>
  <c r="E44" i="35"/>
  <c r="F44" i="35"/>
  <c r="E45" i="35"/>
  <c r="F45" i="35"/>
  <c r="E46" i="35"/>
  <c r="F46" i="35"/>
  <c r="E47" i="35"/>
  <c r="F47" i="35"/>
  <c r="E48" i="35"/>
  <c r="F48" i="35"/>
  <c r="E49" i="35"/>
  <c r="F49" i="35"/>
  <c r="E50" i="35"/>
  <c r="F50" i="35"/>
  <c r="E51" i="35"/>
  <c r="F51" i="35"/>
  <c r="E52" i="35"/>
  <c r="F52" i="35"/>
  <c r="E53" i="35"/>
  <c r="F53" i="35"/>
  <c r="E54" i="35"/>
  <c r="F54" i="35"/>
  <c r="E55" i="35"/>
  <c r="F55" i="35"/>
  <c r="E56" i="35"/>
  <c r="F56" i="35"/>
  <c r="E57" i="35"/>
  <c r="F57" i="35"/>
  <c r="E58" i="35"/>
  <c r="F58" i="35"/>
  <c r="E59" i="35"/>
  <c r="F59" i="35"/>
  <c r="E60" i="35"/>
  <c r="F60" i="35"/>
  <c r="E62" i="35"/>
  <c r="F62" i="35"/>
  <c r="E63" i="35"/>
  <c r="F63" i="35"/>
  <c r="E64" i="35"/>
  <c r="F64" i="35"/>
  <c r="E65" i="35"/>
  <c r="F65" i="35"/>
  <c r="E66" i="35"/>
  <c r="F66" i="35"/>
  <c r="E67" i="35"/>
  <c r="F67" i="35"/>
  <c r="E68" i="35"/>
  <c r="F68" i="35"/>
  <c r="B202" i="35"/>
  <c r="C202" i="35"/>
  <c r="D202" i="35"/>
  <c r="G202" i="35"/>
  <c r="H202" i="35"/>
  <c r="B203" i="35"/>
  <c r="C203" i="35"/>
  <c r="E203" i="35"/>
  <c r="F203" i="35"/>
  <c r="G203" i="35"/>
  <c r="H203" i="35"/>
  <c r="B204" i="35"/>
  <c r="C204" i="35"/>
  <c r="B237" i="35"/>
  <c r="C237" i="35"/>
  <c r="B267" i="35"/>
  <c r="C267" i="35"/>
  <c r="E1" i="36"/>
  <c r="B194" i="36" s="1"/>
  <c r="E2" i="36"/>
  <c r="B195" i="36" s="1"/>
  <c r="E6" i="36"/>
  <c r="E199" i="36" s="1"/>
  <c r="E9" i="36"/>
  <c r="F9" i="36"/>
  <c r="E10" i="36"/>
  <c r="F10" i="36"/>
  <c r="E11" i="36"/>
  <c r="F11" i="36"/>
  <c r="E12" i="36"/>
  <c r="F12" i="36"/>
  <c r="E13" i="36"/>
  <c r="F13" i="36"/>
  <c r="E14" i="36"/>
  <c r="F14" i="36"/>
  <c r="E15" i="36"/>
  <c r="F15" i="36"/>
  <c r="E16" i="36"/>
  <c r="F16" i="36"/>
  <c r="E17" i="36"/>
  <c r="F17" i="36"/>
  <c r="E18" i="36"/>
  <c r="F18" i="36"/>
  <c r="E19" i="36"/>
  <c r="F19" i="36"/>
  <c r="E20" i="36"/>
  <c r="F20" i="36"/>
  <c r="E21" i="36"/>
  <c r="F21" i="36"/>
  <c r="E22" i="36"/>
  <c r="F22" i="36"/>
  <c r="E23" i="36"/>
  <c r="F23" i="36"/>
  <c r="E24" i="36"/>
  <c r="F24" i="36"/>
  <c r="E25" i="36"/>
  <c r="F25" i="36"/>
  <c r="E26" i="36"/>
  <c r="F26" i="36"/>
  <c r="E27" i="36"/>
  <c r="F27" i="36"/>
  <c r="E28" i="36"/>
  <c r="F28" i="36"/>
  <c r="E29" i="36"/>
  <c r="F29" i="36"/>
  <c r="E30" i="36"/>
  <c r="F30" i="36"/>
  <c r="E31" i="36"/>
  <c r="F31" i="36"/>
  <c r="E32" i="36"/>
  <c r="F32" i="36"/>
  <c r="E33" i="36"/>
  <c r="F33" i="36"/>
  <c r="E34" i="36"/>
  <c r="F34" i="36"/>
  <c r="E35" i="36"/>
  <c r="F35" i="36"/>
  <c r="E36" i="36"/>
  <c r="F36" i="36"/>
  <c r="E37" i="36"/>
  <c r="F37" i="36"/>
  <c r="E38" i="36"/>
  <c r="F38" i="36"/>
  <c r="E39" i="36"/>
  <c r="F39" i="36"/>
  <c r="E42" i="36"/>
  <c r="F42" i="36"/>
  <c r="E43" i="36"/>
  <c r="F43" i="36"/>
  <c r="E44" i="36"/>
  <c r="F44" i="36"/>
  <c r="E45" i="36"/>
  <c r="F45" i="36"/>
  <c r="E46" i="36"/>
  <c r="F46" i="36"/>
  <c r="E47" i="36"/>
  <c r="F47" i="36"/>
  <c r="E48" i="36"/>
  <c r="F48" i="36"/>
  <c r="E49" i="36"/>
  <c r="F49" i="36"/>
  <c r="E50" i="36"/>
  <c r="F50" i="36"/>
  <c r="E51" i="36"/>
  <c r="F51" i="36"/>
  <c r="E52" i="36"/>
  <c r="F52" i="36"/>
  <c r="E53" i="36"/>
  <c r="F53" i="36"/>
  <c r="E54" i="36"/>
  <c r="F54" i="36"/>
  <c r="E55" i="36"/>
  <c r="F55" i="36"/>
  <c r="E56" i="36"/>
  <c r="F56" i="36"/>
  <c r="E57" i="36"/>
  <c r="F57" i="36"/>
  <c r="E58" i="36"/>
  <c r="F58" i="36"/>
  <c r="E59" i="36"/>
  <c r="F59" i="36"/>
  <c r="E60" i="36"/>
  <c r="F60" i="36"/>
  <c r="E61" i="36"/>
  <c r="F61" i="36"/>
  <c r="E63" i="36"/>
  <c r="F63" i="36"/>
  <c r="E64" i="36"/>
  <c r="F64" i="36"/>
  <c r="E65" i="36"/>
  <c r="F65" i="36"/>
  <c r="E66" i="36"/>
  <c r="F66" i="36"/>
  <c r="E67" i="36"/>
  <c r="F67" i="36"/>
  <c r="E68" i="36"/>
  <c r="F68" i="36"/>
  <c r="E69" i="36"/>
  <c r="F69" i="36"/>
  <c r="B199" i="36"/>
  <c r="D199" i="36"/>
  <c r="G199" i="36"/>
  <c r="H199" i="36"/>
  <c r="B200" i="36"/>
  <c r="E200" i="36"/>
  <c r="F200" i="36"/>
  <c r="G200" i="36"/>
  <c r="H200" i="36"/>
  <c r="B201" i="36"/>
  <c r="E201" i="36"/>
  <c r="F201" i="36"/>
  <c r="G201" i="36"/>
  <c r="H201" i="36"/>
  <c r="B234" i="36"/>
  <c r="E1" i="37"/>
  <c r="B198" i="37" s="1"/>
  <c r="D2" i="37"/>
  <c r="B199" i="37" s="1"/>
  <c r="E6" i="37"/>
  <c r="E202" i="37" s="1"/>
  <c r="F6" i="37"/>
  <c r="F202" i="37" s="1"/>
  <c r="E9" i="37"/>
  <c r="F9" i="37"/>
  <c r="E10" i="37"/>
  <c r="F10" i="37"/>
  <c r="E11" i="37"/>
  <c r="F11" i="37"/>
  <c r="E12" i="37"/>
  <c r="F12" i="37"/>
  <c r="E13" i="37"/>
  <c r="F13" i="37"/>
  <c r="E14" i="37"/>
  <c r="F14" i="37"/>
  <c r="E15" i="37"/>
  <c r="F15" i="37"/>
  <c r="E16" i="37"/>
  <c r="F16" i="37"/>
  <c r="E17" i="37"/>
  <c r="F17" i="37"/>
  <c r="E18" i="37"/>
  <c r="F18" i="37"/>
  <c r="E19" i="37"/>
  <c r="F19" i="37"/>
  <c r="E20" i="37"/>
  <c r="F20" i="37"/>
  <c r="E21" i="37"/>
  <c r="F21" i="37"/>
  <c r="E22" i="37"/>
  <c r="F22" i="37"/>
  <c r="E23" i="37"/>
  <c r="F23" i="37"/>
  <c r="E24" i="37"/>
  <c r="F24" i="37"/>
  <c r="E25" i="37"/>
  <c r="F25" i="37"/>
  <c r="E26" i="37"/>
  <c r="F26" i="37"/>
  <c r="E27" i="37"/>
  <c r="F27" i="37"/>
  <c r="E28" i="37"/>
  <c r="F28" i="37"/>
  <c r="E29" i="37"/>
  <c r="F29" i="37"/>
  <c r="E30" i="37"/>
  <c r="F30" i="37"/>
  <c r="E31" i="37"/>
  <c r="F31" i="37"/>
  <c r="E32" i="37"/>
  <c r="F32" i="37"/>
  <c r="E33" i="37"/>
  <c r="F33" i="37"/>
  <c r="E34" i="37"/>
  <c r="F34" i="37"/>
  <c r="E35" i="37"/>
  <c r="F35" i="37"/>
  <c r="E36" i="37"/>
  <c r="F36" i="37"/>
  <c r="E37" i="37"/>
  <c r="F37" i="37"/>
  <c r="E38" i="37"/>
  <c r="F38" i="37"/>
  <c r="E39" i="37"/>
  <c r="F39" i="37"/>
  <c r="E42" i="37"/>
  <c r="F42" i="37"/>
  <c r="E43" i="37"/>
  <c r="F43" i="37"/>
  <c r="E44" i="37"/>
  <c r="F44" i="37"/>
  <c r="E45" i="37"/>
  <c r="F45" i="37"/>
  <c r="E46" i="37"/>
  <c r="F46" i="37"/>
  <c r="E47" i="37"/>
  <c r="F47" i="37"/>
  <c r="E48" i="37"/>
  <c r="F48" i="37"/>
  <c r="E49" i="37"/>
  <c r="F49" i="37"/>
  <c r="E50" i="37"/>
  <c r="F50" i="37"/>
  <c r="E51" i="37"/>
  <c r="F51" i="37"/>
  <c r="E52" i="37"/>
  <c r="F52" i="37"/>
  <c r="E53" i="37"/>
  <c r="F53" i="37"/>
  <c r="E54" i="37"/>
  <c r="F54" i="37"/>
  <c r="E55" i="37"/>
  <c r="F55" i="37"/>
  <c r="E56" i="37"/>
  <c r="F56" i="37"/>
  <c r="E57" i="37"/>
  <c r="F57" i="37"/>
  <c r="E58" i="37"/>
  <c r="F58" i="37"/>
  <c r="E59" i="37"/>
  <c r="F59" i="37"/>
  <c r="E60" i="37"/>
  <c r="F60" i="37"/>
  <c r="E61" i="37"/>
  <c r="F61" i="37"/>
  <c r="E63" i="37"/>
  <c r="F63" i="37"/>
  <c r="E64" i="37"/>
  <c r="F64" i="37"/>
  <c r="E65" i="37"/>
  <c r="F65" i="37"/>
  <c r="E66" i="37"/>
  <c r="F66" i="37"/>
  <c r="E67" i="37"/>
  <c r="F67" i="37"/>
  <c r="E68" i="37"/>
  <c r="F68" i="37"/>
  <c r="E69" i="37"/>
  <c r="F69" i="37"/>
  <c r="B202" i="37"/>
  <c r="C202" i="37"/>
  <c r="D202" i="37"/>
  <c r="G202" i="37"/>
  <c r="H202" i="37"/>
  <c r="B203" i="37"/>
  <c r="C203" i="37"/>
  <c r="E203" i="37"/>
  <c r="F203" i="37"/>
  <c r="G203" i="37"/>
  <c r="H203" i="37"/>
  <c r="B204" i="37"/>
  <c r="C204" i="37"/>
  <c r="E204" i="37"/>
  <c r="F204" i="37"/>
  <c r="G204" i="37"/>
  <c r="H204" i="37"/>
  <c r="B237" i="37"/>
  <c r="C237" i="37"/>
  <c r="J1" i="19"/>
  <c r="B202" i="19" s="1"/>
  <c r="J2" i="19"/>
  <c r="B203" i="19" s="1"/>
  <c r="D7" i="19"/>
  <c r="D208" i="19" s="1"/>
  <c r="H7" i="19"/>
  <c r="H208" i="19" s="1"/>
  <c r="L7" i="19"/>
  <c r="L208" i="19" s="1"/>
  <c r="B9" i="19"/>
  <c r="B210" i="19" s="1"/>
  <c r="H9" i="19"/>
  <c r="J9" i="19"/>
  <c r="R9" i="19"/>
  <c r="R210" i="19" s="1"/>
  <c r="T9" i="19"/>
  <c r="T210" i="19" s="1"/>
  <c r="V210" i="19"/>
  <c r="H11" i="19"/>
  <c r="J11" i="19"/>
  <c r="R11" i="19"/>
  <c r="R211" i="19" s="1"/>
  <c r="T11" i="19"/>
  <c r="T211" i="19" s="1"/>
  <c r="V211" i="19"/>
  <c r="H12" i="19"/>
  <c r="J12" i="19"/>
  <c r="R12" i="19"/>
  <c r="R212" i="19" s="1"/>
  <c r="T12" i="19"/>
  <c r="T212" i="19" s="1"/>
  <c r="V212" i="19"/>
  <c r="H13" i="19"/>
  <c r="J13" i="19"/>
  <c r="H12" i="31" s="1"/>
  <c r="R13" i="19"/>
  <c r="R213" i="19" s="1"/>
  <c r="T13" i="19"/>
  <c r="T213" i="19" s="1"/>
  <c r="V213" i="19"/>
  <c r="H14" i="19"/>
  <c r="J14" i="19"/>
  <c r="R14" i="19"/>
  <c r="R214" i="19" s="1"/>
  <c r="T14" i="19"/>
  <c r="T214" i="19" s="1"/>
  <c r="V214" i="19"/>
  <c r="D23" i="19"/>
  <c r="F23" i="19"/>
  <c r="L23" i="19"/>
  <c r="E10" i="22" s="1"/>
  <c r="N23" i="19"/>
  <c r="I119" i="38" s="1"/>
  <c r="B25" i="19"/>
  <c r="H25" i="19"/>
  <c r="F22" i="31" s="1"/>
  <c r="J25" i="19"/>
  <c r="R25" i="19"/>
  <c r="R225" i="19" s="1"/>
  <c r="T25" i="19"/>
  <c r="T225" i="19" s="1"/>
  <c r="V225" i="19"/>
  <c r="B204" i="19"/>
  <c r="B205" i="19"/>
  <c r="C205" i="19"/>
  <c r="D205" i="19"/>
  <c r="E205" i="19"/>
  <c r="F205" i="19"/>
  <c r="G205" i="19"/>
  <c r="H205" i="19"/>
  <c r="I205" i="19"/>
  <c r="J205" i="19"/>
  <c r="K205" i="19"/>
  <c r="L205" i="19"/>
  <c r="M205" i="19"/>
  <c r="N205" i="19"/>
  <c r="O205" i="19"/>
  <c r="P205" i="19"/>
  <c r="Q205" i="19"/>
  <c r="R205" i="19"/>
  <c r="S205" i="19"/>
  <c r="T205" i="19"/>
  <c r="U205" i="19"/>
  <c r="V205" i="19"/>
  <c r="B206" i="19"/>
  <c r="C206" i="19"/>
  <c r="D206" i="19"/>
  <c r="E206" i="19"/>
  <c r="F206" i="19"/>
  <c r="G206" i="19"/>
  <c r="H206" i="19"/>
  <c r="I206" i="19"/>
  <c r="J206" i="19"/>
  <c r="K206" i="19"/>
  <c r="L206" i="19"/>
  <c r="M206" i="19"/>
  <c r="N206" i="19"/>
  <c r="O206" i="19"/>
  <c r="P206" i="19"/>
  <c r="Q206" i="19"/>
  <c r="R206" i="19"/>
  <c r="S206" i="19"/>
  <c r="T206" i="19"/>
  <c r="U206" i="19"/>
  <c r="V206" i="19"/>
  <c r="B207" i="19"/>
  <c r="C207" i="19"/>
  <c r="D207" i="19"/>
  <c r="G207" i="19"/>
  <c r="H207" i="19"/>
  <c r="K207" i="19"/>
  <c r="L207" i="19"/>
  <c r="O207" i="19"/>
  <c r="P207" i="19"/>
  <c r="S207" i="19"/>
  <c r="T207" i="19"/>
  <c r="U207" i="19"/>
  <c r="V207" i="19"/>
  <c r="B208" i="19"/>
  <c r="C208" i="19"/>
  <c r="E208" i="19"/>
  <c r="G208" i="19"/>
  <c r="I208" i="19"/>
  <c r="K208" i="19"/>
  <c r="M208" i="19"/>
  <c r="O208" i="19"/>
  <c r="P208" i="19"/>
  <c r="R208" i="19"/>
  <c r="S208" i="19"/>
  <c r="U208" i="19"/>
  <c r="V208" i="19"/>
  <c r="B209" i="19"/>
  <c r="C209" i="19"/>
  <c r="D209" i="19"/>
  <c r="E209" i="19"/>
  <c r="F209" i="19"/>
  <c r="G209" i="19"/>
  <c r="H209" i="19"/>
  <c r="I209" i="19"/>
  <c r="J209" i="19"/>
  <c r="K209" i="19"/>
  <c r="L209" i="19"/>
  <c r="M209" i="19"/>
  <c r="N209" i="19"/>
  <c r="O209" i="19"/>
  <c r="P209" i="19"/>
  <c r="Q209" i="19"/>
  <c r="R209" i="19"/>
  <c r="S209" i="19"/>
  <c r="T209" i="19"/>
  <c r="U209" i="19"/>
  <c r="V209" i="19"/>
  <c r="C223" i="19"/>
  <c r="E223" i="19"/>
  <c r="G223" i="19"/>
  <c r="I223" i="19"/>
  <c r="K223" i="19"/>
  <c r="M223" i="19"/>
  <c r="O223" i="19"/>
  <c r="Q223" i="19"/>
  <c r="S223" i="19"/>
  <c r="U223" i="19"/>
  <c r="B224" i="19"/>
  <c r="C224" i="19"/>
  <c r="D224" i="19"/>
  <c r="E224" i="19"/>
  <c r="F224" i="19"/>
  <c r="G224" i="19"/>
  <c r="H224" i="19"/>
  <c r="I224" i="19"/>
  <c r="J224" i="19"/>
  <c r="K224" i="19"/>
  <c r="L224" i="19"/>
  <c r="M224" i="19"/>
  <c r="N224" i="19"/>
  <c r="O224" i="19"/>
  <c r="P224" i="19"/>
  <c r="Q224" i="19"/>
  <c r="R224" i="19"/>
  <c r="S224" i="19"/>
  <c r="T224" i="19"/>
  <c r="U224" i="19"/>
  <c r="V224" i="19"/>
  <c r="C225" i="19"/>
  <c r="D225" i="19"/>
  <c r="E225" i="19"/>
  <c r="F225" i="19"/>
  <c r="G225" i="19"/>
  <c r="I225" i="19"/>
  <c r="K225" i="19"/>
  <c r="L225" i="19"/>
  <c r="M225" i="19"/>
  <c r="N225" i="19"/>
  <c r="O225" i="19"/>
  <c r="Q225" i="19"/>
  <c r="S225" i="19"/>
  <c r="U225" i="19"/>
  <c r="B226" i="19"/>
  <c r="C226" i="19"/>
  <c r="D226" i="19"/>
  <c r="E226" i="19"/>
  <c r="F226" i="19"/>
  <c r="G226" i="19"/>
  <c r="H226" i="19"/>
  <c r="I226" i="19"/>
  <c r="J226" i="19"/>
  <c r="K226" i="19"/>
  <c r="L226" i="19"/>
  <c r="M226" i="19"/>
  <c r="N226" i="19"/>
  <c r="O226" i="19"/>
  <c r="P226" i="19"/>
  <c r="Q226" i="19"/>
  <c r="R226" i="19"/>
  <c r="S226" i="19"/>
  <c r="T226" i="19"/>
  <c r="U226" i="19"/>
  <c r="V226" i="19"/>
  <c r="B227" i="19"/>
  <c r="C227" i="19"/>
  <c r="D227" i="19"/>
  <c r="E227" i="19"/>
  <c r="F227" i="19"/>
  <c r="G227" i="19"/>
  <c r="H227" i="19"/>
  <c r="I227" i="19"/>
  <c r="J227" i="19"/>
  <c r="K227" i="19"/>
  <c r="L227" i="19"/>
  <c r="M227" i="19"/>
  <c r="N227" i="19"/>
  <c r="O227" i="19"/>
  <c r="P227" i="19"/>
  <c r="Q227" i="19"/>
  <c r="R227" i="19"/>
  <c r="S227" i="19"/>
  <c r="T227" i="19"/>
  <c r="U227" i="19"/>
  <c r="V227" i="19"/>
  <c r="B228" i="19"/>
  <c r="C228" i="19"/>
  <c r="D228" i="19"/>
  <c r="E228" i="19"/>
  <c r="F228" i="19"/>
  <c r="G228" i="19"/>
  <c r="H228" i="19"/>
  <c r="I228" i="19"/>
  <c r="J228" i="19"/>
  <c r="K228" i="19"/>
  <c r="L228" i="19"/>
  <c r="M228" i="19"/>
  <c r="N228" i="19"/>
  <c r="O228" i="19"/>
  <c r="P228" i="19"/>
  <c r="Q228" i="19"/>
  <c r="R228" i="19"/>
  <c r="S228" i="19"/>
  <c r="T228" i="19"/>
  <c r="U228" i="19"/>
  <c r="V228" i="19"/>
  <c r="B229" i="19"/>
  <c r="C229" i="19"/>
  <c r="D229" i="19"/>
  <c r="E229" i="19"/>
  <c r="F229" i="19"/>
  <c r="G229" i="19"/>
  <c r="H229" i="19"/>
  <c r="I229" i="19"/>
  <c r="J229" i="19"/>
  <c r="K229" i="19"/>
  <c r="L229" i="19"/>
  <c r="M229" i="19"/>
  <c r="N229" i="19"/>
  <c r="O229" i="19"/>
  <c r="P229" i="19"/>
  <c r="Q229" i="19"/>
  <c r="R229" i="19"/>
  <c r="S229" i="19"/>
  <c r="T229" i="19"/>
  <c r="U229" i="19"/>
  <c r="V229" i="19"/>
  <c r="B230" i="19"/>
  <c r="B231" i="19"/>
  <c r="F1" i="9"/>
  <c r="B209" i="9" s="1"/>
  <c r="G20" i="8"/>
  <c r="F97" i="9"/>
  <c r="H97" i="9"/>
  <c r="H304" i="9" s="1"/>
  <c r="B210" i="9"/>
  <c r="B213" i="9"/>
  <c r="C213" i="9"/>
  <c r="D213" i="9"/>
  <c r="E213" i="9"/>
  <c r="F213" i="9"/>
  <c r="G213" i="9"/>
  <c r="H213" i="9"/>
  <c r="I213" i="9"/>
  <c r="B214" i="9"/>
  <c r="C214" i="9"/>
  <c r="D214" i="9"/>
  <c r="E214" i="9"/>
  <c r="F214" i="9"/>
  <c r="G214" i="9"/>
  <c r="H214" i="9"/>
  <c r="I214" i="9"/>
  <c r="B215" i="9"/>
  <c r="C215" i="9"/>
  <c r="D215" i="9"/>
  <c r="E215" i="9"/>
  <c r="G215" i="9"/>
  <c r="I215" i="9"/>
  <c r="C216" i="9"/>
  <c r="D216" i="9"/>
  <c r="E216" i="9"/>
  <c r="G216" i="9"/>
  <c r="I216" i="9"/>
  <c r="C217" i="9"/>
  <c r="D217" i="9"/>
  <c r="E217" i="9"/>
  <c r="G217" i="9"/>
  <c r="I217" i="9"/>
  <c r="B218" i="9"/>
  <c r="C218" i="9"/>
  <c r="D218" i="9"/>
  <c r="E218" i="9"/>
  <c r="F218" i="9"/>
  <c r="G218" i="9"/>
  <c r="H218" i="9"/>
  <c r="I218" i="9"/>
  <c r="B219" i="9"/>
  <c r="C219" i="9"/>
  <c r="D219" i="9"/>
  <c r="E219" i="9"/>
  <c r="F219" i="9"/>
  <c r="G219" i="9"/>
  <c r="H219" i="9"/>
  <c r="I219" i="9"/>
  <c r="B220" i="9"/>
  <c r="C220" i="9"/>
  <c r="D220" i="9"/>
  <c r="E220" i="9"/>
  <c r="F220" i="9"/>
  <c r="G220" i="9"/>
  <c r="H220" i="9"/>
  <c r="I220" i="9"/>
  <c r="B221" i="9"/>
  <c r="C221" i="9"/>
  <c r="D221" i="9"/>
  <c r="E221" i="9"/>
  <c r="F221" i="9"/>
  <c r="G221" i="9"/>
  <c r="H221" i="9"/>
  <c r="I221" i="9"/>
  <c r="C222" i="9"/>
  <c r="D222" i="9"/>
  <c r="E222" i="9"/>
  <c r="G222" i="9"/>
  <c r="I222" i="9"/>
  <c r="B223" i="9"/>
  <c r="C223" i="9"/>
  <c r="D223" i="9"/>
  <c r="E223" i="9"/>
  <c r="F223" i="9"/>
  <c r="G223" i="9"/>
  <c r="H223" i="9"/>
  <c r="I223" i="9"/>
  <c r="B224" i="9"/>
  <c r="C224" i="9"/>
  <c r="D224" i="9"/>
  <c r="E224" i="9"/>
  <c r="F224" i="9"/>
  <c r="G224" i="9"/>
  <c r="H224" i="9"/>
  <c r="I224" i="9"/>
  <c r="B225" i="9"/>
  <c r="C225" i="9"/>
  <c r="D225" i="9"/>
  <c r="E225" i="9"/>
  <c r="F225" i="9"/>
  <c r="G225" i="9"/>
  <c r="H225" i="9"/>
  <c r="I225" i="9"/>
  <c r="D226" i="9"/>
  <c r="E226" i="9"/>
  <c r="G226" i="9"/>
  <c r="I226" i="9"/>
  <c r="C227" i="9"/>
  <c r="D227" i="9"/>
  <c r="E227" i="9"/>
  <c r="G227" i="9"/>
  <c r="I227" i="9"/>
  <c r="B228" i="9"/>
  <c r="C228" i="9"/>
  <c r="D228" i="9"/>
  <c r="E228" i="9"/>
  <c r="F228" i="9"/>
  <c r="G228" i="9"/>
  <c r="H228" i="9"/>
  <c r="I228" i="9"/>
  <c r="B229" i="9"/>
  <c r="C229" i="9"/>
  <c r="D229" i="9"/>
  <c r="E229" i="9"/>
  <c r="F229" i="9"/>
  <c r="G229" i="9"/>
  <c r="H229" i="9"/>
  <c r="I229" i="9"/>
  <c r="B230" i="9"/>
  <c r="C230" i="9"/>
  <c r="D230" i="9"/>
  <c r="E230" i="9"/>
  <c r="F230" i="9"/>
  <c r="G230" i="9"/>
  <c r="H230" i="9"/>
  <c r="I230" i="9"/>
  <c r="B231" i="9"/>
  <c r="C231" i="9"/>
  <c r="D231" i="9"/>
  <c r="E231" i="9"/>
  <c r="F231" i="9"/>
  <c r="G231" i="9"/>
  <c r="H231" i="9"/>
  <c r="I231" i="9"/>
  <c r="C232" i="9"/>
  <c r="D232" i="9"/>
  <c r="E232" i="9"/>
  <c r="G232" i="9"/>
  <c r="I232" i="9"/>
  <c r="B233" i="9"/>
  <c r="C233" i="9"/>
  <c r="D233" i="9"/>
  <c r="E233" i="9"/>
  <c r="F233" i="9"/>
  <c r="G233" i="9"/>
  <c r="H233" i="9"/>
  <c r="I233" i="9"/>
  <c r="B234" i="9"/>
  <c r="C234" i="9"/>
  <c r="D234" i="9"/>
  <c r="E234" i="9"/>
  <c r="F234" i="9"/>
  <c r="G234" i="9"/>
  <c r="H234" i="9"/>
  <c r="I234" i="9"/>
  <c r="C235" i="9"/>
  <c r="D235" i="9"/>
  <c r="E235" i="9"/>
  <c r="G235" i="9"/>
  <c r="I235" i="9"/>
  <c r="C236" i="9"/>
  <c r="D236" i="9"/>
  <c r="E236" i="9"/>
  <c r="G236" i="9"/>
  <c r="I236" i="9"/>
  <c r="C237" i="9"/>
  <c r="D237" i="9"/>
  <c r="E237" i="9"/>
  <c r="G237" i="9"/>
  <c r="I237" i="9"/>
  <c r="C238" i="9"/>
  <c r="D238" i="9"/>
  <c r="E238" i="9"/>
  <c r="G238" i="9"/>
  <c r="I238" i="9"/>
  <c r="B239" i="9"/>
  <c r="C239" i="9"/>
  <c r="D239" i="9"/>
  <c r="E239" i="9"/>
  <c r="F239" i="9"/>
  <c r="G239" i="9"/>
  <c r="H239" i="9"/>
  <c r="I239" i="9"/>
  <c r="B240" i="9"/>
  <c r="C240" i="9"/>
  <c r="D240" i="9"/>
  <c r="E240" i="9"/>
  <c r="F240" i="9"/>
  <c r="G240" i="9"/>
  <c r="H240" i="9"/>
  <c r="I240" i="9"/>
  <c r="C241" i="9"/>
  <c r="D241" i="9"/>
  <c r="E241" i="9"/>
  <c r="G241" i="9"/>
  <c r="I241" i="9"/>
  <c r="B242" i="9"/>
  <c r="C242" i="9"/>
  <c r="D242" i="9"/>
  <c r="E242" i="9"/>
  <c r="F242" i="9"/>
  <c r="G242" i="9"/>
  <c r="H242" i="9"/>
  <c r="I242" i="9"/>
  <c r="B243" i="9"/>
  <c r="C243" i="9"/>
  <c r="D243" i="9"/>
  <c r="E243" i="9"/>
  <c r="F243" i="9"/>
  <c r="G243" i="9"/>
  <c r="H243" i="9"/>
  <c r="I243" i="9"/>
  <c r="B244" i="9"/>
  <c r="C244" i="9"/>
  <c r="D244" i="9"/>
  <c r="E244" i="9"/>
  <c r="F244" i="9"/>
  <c r="G244" i="9"/>
  <c r="H244" i="9"/>
  <c r="I244" i="9"/>
  <c r="C245" i="9"/>
  <c r="D245" i="9"/>
  <c r="E245" i="9"/>
  <c r="G245" i="9"/>
  <c r="I245" i="9"/>
  <c r="C246" i="9"/>
  <c r="D246" i="9"/>
  <c r="E246" i="9"/>
  <c r="G246" i="9"/>
  <c r="I246" i="9"/>
  <c r="C247" i="9"/>
  <c r="D247" i="9"/>
  <c r="E247" i="9"/>
  <c r="G247" i="9"/>
  <c r="I247" i="9"/>
  <c r="B248" i="9"/>
  <c r="C248" i="9"/>
  <c r="D248" i="9"/>
  <c r="E248" i="9"/>
  <c r="F248" i="9"/>
  <c r="G248" i="9"/>
  <c r="H248" i="9"/>
  <c r="I248" i="9"/>
  <c r="B249" i="9"/>
  <c r="C249" i="9"/>
  <c r="D249" i="9"/>
  <c r="E249" i="9"/>
  <c r="F249" i="9"/>
  <c r="G249" i="9"/>
  <c r="H249" i="9"/>
  <c r="I249" i="9"/>
  <c r="B250" i="9"/>
  <c r="C250" i="9"/>
  <c r="D250" i="9"/>
  <c r="E250" i="9"/>
  <c r="F250" i="9"/>
  <c r="G250" i="9"/>
  <c r="H250" i="9"/>
  <c r="I250" i="9"/>
  <c r="C251" i="9"/>
  <c r="D251" i="9"/>
  <c r="E251" i="9"/>
  <c r="G251" i="9"/>
  <c r="I251" i="9"/>
  <c r="I252" i="9"/>
  <c r="I253" i="9"/>
  <c r="I254" i="9"/>
  <c r="I255" i="9"/>
  <c r="I256" i="9"/>
  <c r="I257" i="9"/>
  <c r="I258" i="9"/>
  <c r="I259" i="9"/>
  <c r="I260" i="9"/>
  <c r="I261" i="9"/>
  <c r="I264" i="9"/>
  <c r="I265" i="9"/>
  <c r="I267" i="9"/>
  <c r="I268" i="9"/>
  <c r="I270" i="9"/>
  <c r="I271" i="9"/>
  <c r="I272" i="9"/>
  <c r="I273" i="9"/>
  <c r="I274" i="9"/>
  <c r="I275" i="9"/>
  <c r="I276" i="9"/>
  <c r="I277" i="9"/>
  <c r="I278" i="9"/>
  <c r="I279" i="9"/>
  <c r="I280" i="9"/>
  <c r="I281" i="9"/>
  <c r="I282" i="9"/>
  <c r="I283" i="9"/>
  <c r="I284" i="9"/>
  <c r="I285" i="9"/>
  <c r="I286" i="9"/>
  <c r="I287" i="9"/>
  <c r="I288" i="9"/>
  <c r="I289" i="9"/>
  <c r="C290" i="9"/>
  <c r="E290" i="9"/>
  <c r="F290" i="9"/>
  <c r="G290" i="9"/>
  <c r="H290" i="9"/>
  <c r="I290" i="9"/>
  <c r="C291" i="9"/>
  <c r="D291" i="9"/>
  <c r="E291" i="9"/>
  <c r="G291" i="9"/>
  <c r="F292" i="9"/>
  <c r="H292" i="9"/>
  <c r="F293" i="9"/>
  <c r="H293" i="9"/>
  <c r="F294" i="9"/>
  <c r="H294" i="9"/>
  <c r="F295" i="9"/>
  <c r="H295" i="9"/>
  <c r="I291" i="9"/>
  <c r="B292" i="9"/>
  <c r="C292" i="9"/>
  <c r="D292" i="9"/>
  <c r="E292" i="9"/>
  <c r="G292" i="9"/>
  <c r="I292" i="9"/>
  <c r="B293" i="9"/>
  <c r="C293" i="9"/>
  <c r="D293" i="9"/>
  <c r="E293" i="9"/>
  <c r="G293" i="9"/>
  <c r="I293" i="9"/>
  <c r="B294" i="9"/>
  <c r="C294" i="9"/>
  <c r="D294" i="9"/>
  <c r="E294" i="9"/>
  <c r="G294" i="9"/>
  <c r="I294" i="9"/>
  <c r="B295" i="9"/>
  <c r="C295" i="9"/>
  <c r="D295" i="9"/>
  <c r="E295" i="9"/>
  <c r="G295" i="9"/>
  <c r="I295" i="9"/>
  <c r="C296" i="9"/>
  <c r="D296" i="9"/>
  <c r="E296" i="9"/>
  <c r="G296" i="9"/>
  <c r="I296" i="9"/>
  <c r="B297" i="9"/>
  <c r="C297" i="9"/>
  <c r="D297" i="9"/>
  <c r="E297" i="9"/>
  <c r="F297" i="9"/>
  <c r="G297" i="9"/>
  <c r="H297" i="9"/>
  <c r="I297" i="9"/>
  <c r="C298" i="9"/>
  <c r="E298" i="9"/>
  <c r="F298" i="9"/>
  <c r="G298" i="9"/>
  <c r="H298" i="9"/>
  <c r="J298" i="9"/>
  <c r="K298" i="9"/>
  <c r="L298" i="9"/>
  <c r="M298" i="9"/>
  <c r="N298" i="9"/>
  <c r="O298" i="9"/>
  <c r="P298" i="9"/>
  <c r="R298" i="9"/>
  <c r="S298" i="9"/>
  <c r="T298" i="9"/>
  <c r="U298" i="9"/>
  <c r="V298" i="9"/>
  <c r="W298" i="9"/>
  <c r="X298" i="9"/>
  <c r="Z298" i="9"/>
  <c r="AA298" i="9"/>
  <c r="AB298" i="9"/>
  <c r="AC298" i="9"/>
  <c r="AD298" i="9"/>
  <c r="AE298" i="9"/>
  <c r="AF298" i="9"/>
  <c r="AH298" i="9"/>
  <c r="AI298" i="9"/>
  <c r="AJ298" i="9"/>
  <c r="AK298" i="9"/>
  <c r="AL298" i="9"/>
  <c r="AM298" i="9"/>
  <c r="AN298" i="9"/>
  <c r="AP298" i="9"/>
  <c r="AQ298" i="9"/>
  <c r="AR298" i="9"/>
  <c r="AS298" i="9"/>
  <c r="AT298" i="9"/>
  <c r="AU298" i="9"/>
  <c r="AV298" i="9"/>
  <c r="AX298" i="9"/>
  <c r="AY298" i="9"/>
  <c r="AZ298" i="9"/>
  <c r="BA298" i="9"/>
  <c r="BB298" i="9"/>
  <c r="BC298" i="9"/>
  <c r="BD298" i="9"/>
  <c r="BF298" i="9"/>
  <c r="BG298" i="9"/>
  <c r="BH298" i="9"/>
  <c r="BI298" i="9"/>
  <c r="BJ298" i="9"/>
  <c r="BK298" i="9"/>
  <c r="BL298" i="9"/>
  <c r="BN298" i="9"/>
  <c r="BO298" i="9"/>
  <c r="BP298" i="9"/>
  <c r="BQ298" i="9"/>
  <c r="BR298" i="9"/>
  <c r="BS298" i="9"/>
  <c r="BT298" i="9"/>
  <c r="BV298" i="9"/>
  <c r="BW298" i="9"/>
  <c r="BX298" i="9"/>
  <c r="BY298" i="9"/>
  <c r="BZ298" i="9"/>
  <c r="CA298" i="9"/>
  <c r="CB298" i="9"/>
  <c r="CD298" i="9"/>
  <c r="CE298" i="9"/>
  <c r="CF298" i="9"/>
  <c r="CG298" i="9"/>
  <c r="CH298" i="9"/>
  <c r="CI298" i="9"/>
  <c r="CJ298" i="9"/>
  <c r="CL298" i="9"/>
  <c r="CM298" i="9"/>
  <c r="CN298" i="9"/>
  <c r="CO298" i="9"/>
  <c r="CP298" i="9"/>
  <c r="CQ298" i="9"/>
  <c r="CR298" i="9"/>
  <c r="CT298" i="9"/>
  <c r="CU298" i="9"/>
  <c r="CV298" i="9"/>
  <c r="CW298" i="9"/>
  <c r="CX298" i="9"/>
  <c r="CY298" i="9"/>
  <c r="CZ298" i="9"/>
  <c r="DB298" i="9"/>
  <c r="DC298" i="9"/>
  <c r="DD298" i="9"/>
  <c r="DE298" i="9"/>
  <c r="DF298" i="9"/>
  <c r="DG298" i="9"/>
  <c r="DH298" i="9"/>
  <c r="DJ298" i="9"/>
  <c r="DK298" i="9"/>
  <c r="DL298" i="9"/>
  <c r="DM298" i="9"/>
  <c r="DN298" i="9"/>
  <c r="DO298" i="9"/>
  <c r="DP298" i="9"/>
  <c r="DR298" i="9"/>
  <c r="DS298" i="9"/>
  <c r="DT298" i="9"/>
  <c r="DU298" i="9"/>
  <c r="DV298" i="9"/>
  <c r="DW298" i="9"/>
  <c r="DX298" i="9"/>
  <c r="DZ298" i="9"/>
  <c r="EA298" i="9"/>
  <c r="EB298" i="9"/>
  <c r="EC298" i="9"/>
  <c r="ED298" i="9"/>
  <c r="EE298" i="9"/>
  <c r="EF298" i="9"/>
  <c r="EH298" i="9"/>
  <c r="EI298" i="9"/>
  <c r="EJ298" i="9"/>
  <c r="EK298" i="9"/>
  <c r="EL298" i="9"/>
  <c r="EM298" i="9"/>
  <c r="EN298" i="9"/>
  <c r="EP298" i="9"/>
  <c r="EQ298" i="9"/>
  <c r="ER298" i="9"/>
  <c r="ES298" i="9"/>
  <c r="ET298" i="9"/>
  <c r="EU298" i="9"/>
  <c r="EV298" i="9"/>
  <c r="EX298" i="9"/>
  <c r="EY298" i="9"/>
  <c r="EZ298" i="9"/>
  <c r="FA298" i="9"/>
  <c r="FB298" i="9"/>
  <c r="FC298" i="9"/>
  <c r="FD298" i="9"/>
  <c r="FF298" i="9"/>
  <c r="FG298" i="9"/>
  <c r="FH298" i="9"/>
  <c r="FI298" i="9"/>
  <c r="FJ298" i="9"/>
  <c r="FK298" i="9"/>
  <c r="FL298" i="9"/>
  <c r="FN298" i="9"/>
  <c r="FO298" i="9"/>
  <c r="FP298" i="9"/>
  <c r="FQ298" i="9"/>
  <c r="FR298" i="9"/>
  <c r="FS298" i="9"/>
  <c r="FT298" i="9"/>
  <c r="FV298" i="9"/>
  <c r="FW298" i="9"/>
  <c r="FX298" i="9"/>
  <c r="FY298" i="9"/>
  <c r="FZ298" i="9"/>
  <c r="GA298" i="9"/>
  <c r="GB298" i="9"/>
  <c r="GD298" i="9"/>
  <c r="GE298" i="9"/>
  <c r="GF298" i="9"/>
  <c r="GG298" i="9"/>
  <c r="GH298" i="9"/>
  <c r="GI298" i="9"/>
  <c r="GJ298" i="9"/>
  <c r="GL298" i="9"/>
  <c r="GM298" i="9"/>
  <c r="GN298" i="9"/>
  <c r="GO298" i="9"/>
  <c r="GP298" i="9"/>
  <c r="GQ298" i="9"/>
  <c r="GR298" i="9"/>
  <c r="GT298" i="9"/>
  <c r="GU298" i="9"/>
  <c r="GV298" i="9"/>
  <c r="GW298" i="9"/>
  <c r="GX298" i="9"/>
  <c r="GY298" i="9"/>
  <c r="GZ298" i="9"/>
  <c r="HB298" i="9"/>
  <c r="HC298" i="9"/>
  <c r="HD298" i="9"/>
  <c r="HE298" i="9"/>
  <c r="HF298" i="9"/>
  <c r="HG298" i="9"/>
  <c r="HH298" i="9"/>
  <c r="HJ298" i="9"/>
  <c r="HK298" i="9"/>
  <c r="HL298" i="9"/>
  <c r="HM298" i="9"/>
  <c r="HN298" i="9"/>
  <c r="HO298" i="9"/>
  <c r="HP298" i="9"/>
  <c r="HR298" i="9"/>
  <c r="HS298" i="9"/>
  <c r="HT298" i="9"/>
  <c r="HU298" i="9"/>
  <c r="HV298" i="9"/>
  <c r="HW298" i="9"/>
  <c r="HX298" i="9"/>
  <c r="HZ298" i="9"/>
  <c r="IA298" i="9"/>
  <c r="IB298" i="9"/>
  <c r="IC298" i="9"/>
  <c r="ID298" i="9"/>
  <c r="IE298" i="9"/>
  <c r="IF298" i="9"/>
  <c r="IH298" i="9"/>
  <c r="II298" i="9"/>
  <c r="IJ298" i="9"/>
  <c r="IK298" i="9"/>
  <c r="IL298" i="9"/>
  <c r="IM298" i="9"/>
  <c r="IN298" i="9"/>
  <c r="IP298" i="9"/>
  <c r="IQ298" i="9"/>
  <c r="IR298" i="9"/>
  <c r="IS298" i="9"/>
  <c r="IT298" i="9"/>
  <c r="IU298" i="9"/>
  <c r="IV298" i="9"/>
  <c r="B299" i="9"/>
  <c r="C299" i="9"/>
  <c r="D299" i="9"/>
  <c r="E299" i="9"/>
  <c r="F299" i="9"/>
  <c r="G299" i="9"/>
  <c r="H299" i="9"/>
  <c r="J299" i="9"/>
  <c r="K299" i="9"/>
  <c r="L299" i="9"/>
  <c r="M299" i="9"/>
  <c r="N299" i="9"/>
  <c r="O299" i="9"/>
  <c r="P299" i="9"/>
  <c r="R299" i="9"/>
  <c r="S299" i="9"/>
  <c r="T299" i="9"/>
  <c r="U299" i="9"/>
  <c r="V299" i="9"/>
  <c r="W299" i="9"/>
  <c r="X299" i="9"/>
  <c r="Z299" i="9"/>
  <c r="AA299" i="9"/>
  <c r="AB299" i="9"/>
  <c r="AC299" i="9"/>
  <c r="AD299" i="9"/>
  <c r="AE299" i="9"/>
  <c r="AF299" i="9"/>
  <c r="AH299" i="9"/>
  <c r="AI299" i="9"/>
  <c r="AJ299" i="9"/>
  <c r="AK299" i="9"/>
  <c r="AL299" i="9"/>
  <c r="AM299" i="9"/>
  <c r="AN299" i="9"/>
  <c r="AP299" i="9"/>
  <c r="AQ299" i="9"/>
  <c r="AR299" i="9"/>
  <c r="AS299" i="9"/>
  <c r="AT299" i="9"/>
  <c r="AU299" i="9"/>
  <c r="AV299" i="9"/>
  <c r="AX299" i="9"/>
  <c r="AY299" i="9"/>
  <c r="AZ299" i="9"/>
  <c r="BA299" i="9"/>
  <c r="BB299" i="9"/>
  <c r="BC299" i="9"/>
  <c r="BD299" i="9"/>
  <c r="BF299" i="9"/>
  <c r="BG299" i="9"/>
  <c r="BH299" i="9"/>
  <c r="BI299" i="9"/>
  <c r="BJ299" i="9"/>
  <c r="BK299" i="9"/>
  <c r="BL299" i="9"/>
  <c r="BN299" i="9"/>
  <c r="BO299" i="9"/>
  <c r="BP299" i="9"/>
  <c r="BQ299" i="9"/>
  <c r="BR299" i="9"/>
  <c r="BS299" i="9"/>
  <c r="BT299" i="9"/>
  <c r="BV299" i="9"/>
  <c r="BW299" i="9"/>
  <c r="BX299" i="9"/>
  <c r="BY299" i="9"/>
  <c r="BZ299" i="9"/>
  <c r="CA299" i="9"/>
  <c r="CB299" i="9"/>
  <c r="CD299" i="9"/>
  <c r="CE299" i="9"/>
  <c r="CF299" i="9"/>
  <c r="CG299" i="9"/>
  <c r="CH299" i="9"/>
  <c r="CI299" i="9"/>
  <c r="CJ299" i="9"/>
  <c r="CL299" i="9"/>
  <c r="CM299" i="9"/>
  <c r="CN299" i="9"/>
  <c r="CO299" i="9"/>
  <c r="CP299" i="9"/>
  <c r="CQ299" i="9"/>
  <c r="CR299" i="9"/>
  <c r="CT299" i="9"/>
  <c r="CU299" i="9"/>
  <c r="CV299" i="9"/>
  <c r="CW299" i="9"/>
  <c r="CX299" i="9"/>
  <c r="CY299" i="9"/>
  <c r="CZ299" i="9"/>
  <c r="DB299" i="9"/>
  <c r="DC299" i="9"/>
  <c r="DD299" i="9"/>
  <c r="DE299" i="9"/>
  <c r="DF299" i="9"/>
  <c r="DG299" i="9"/>
  <c r="DH299" i="9"/>
  <c r="DJ299" i="9"/>
  <c r="DK299" i="9"/>
  <c r="DL299" i="9"/>
  <c r="DM299" i="9"/>
  <c r="DN299" i="9"/>
  <c r="DO299" i="9"/>
  <c r="DP299" i="9"/>
  <c r="DR299" i="9"/>
  <c r="DS299" i="9"/>
  <c r="DT299" i="9"/>
  <c r="DU299" i="9"/>
  <c r="DV299" i="9"/>
  <c r="DW299" i="9"/>
  <c r="DX299" i="9"/>
  <c r="DZ299" i="9"/>
  <c r="EA299" i="9"/>
  <c r="EB299" i="9"/>
  <c r="EC299" i="9"/>
  <c r="ED299" i="9"/>
  <c r="EE299" i="9"/>
  <c r="EF299" i="9"/>
  <c r="EH299" i="9"/>
  <c r="EI299" i="9"/>
  <c r="EJ299" i="9"/>
  <c r="EK299" i="9"/>
  <c r="EL299" i="9"/>
  <c r="EM299" i="9"/>
  <c r="EN299" i="9"/>
  <c r="EP299" i="9"/>
  <c r="EQ299" i="9"/>
  <c r="ER299" i="9"/>
  <c r="ES299" i="9"/>
  <c r="ET299" i="9"/>
  <c r="EU299" i="9"/>
  <c r="EV299" i="9"/>
  <c r="EX299" i="9"/>
  <c r="EY299" i="9"/>
  <c r="EZ299" i="9"/>
  <c r="FA299" i="9"/>
  <c r="FB299" i="9"/>
  <c r="FC299" i="9"/>
  <c r="FD299" i="9"/>
  <c r="FF299" i="9"/>
  <c r="FG299" i="9"/>
  <c r="FH299" i="9"/>
  <c r="FI299" i="9"/>
  <c r="FJ299" i="9"/>
  <c r="FK299" i="9"/>
  <c r="FL299" i="9"/>
  <c r="FN299" i="9"/>
  <c r="FO299" i="9"/>
  <c r="FP299" i="9"/>
  <c r="FQ299" i="9"/>
  <c r="FR299" i="9"/>
  <c r="FS299" i="9"/>
  <c r="FT299" i="9"/>
  <c r="FV299" i="9"/>
  <c r="FW299" i="9"/>
  <c r="FX299" i="9"/>
  <c r="FY299" i="9"/>
  <c r="FZ299" i="9"/>
  <c r="GA299" i="9"/>
  <c r="GB299" i="9"/>
  <c r="GD299" i="9"/>
  <c r="GE299" i="9"/>
  <c r="GF299" i="9"/>
  <c r="GG299" i="9"/>
  <c r="GH299" i="9"/>
  <c r="GI299" i="9"/>
  <c r="GJ299" i="9"/>
  <c r="GL299" i="9"/>
  <c r="GM299" i="9"/>
  <c r="GN299" i="9"/>
  <c r="GO299" i="9"/>
  <c r="GP299" i="9"/>
  <c r="GQ299" i="9"/>
  <c r="GR299" i="9"/>
  <c r="GT299" i="9"/>
  <c r="GU299" i="9"/>
  <c r="GV299" i="9"/>
  <c r="GW299" i="9"/>
  <c r="GX299" i="9"/>
  <c r="GY299" i="9"/>
  <c r="GZ299" i="9"/>
  <c r="HB299" i="9"/>
  <c r="HC299" i="9"/>
  <c r="HD299" i="9"/>
  <c r="HE299" i="9"/>
  <c r="HF299" i="9"/>
  <c r="HG299" i="9"/>
  <c r="HH299" i="9"/>
  <c r="HJ299" i="9"/>
  <c r="HK299" i="9"/>
  <c r="HL299" i="9"/>
  <c r="HM299" i="9"/>
  <c r="HN299" i="9"/>
  <c r="HO299" i="9"/>
  <c r="HP299" i="9"/>
  <c r="HR299" i="9"/>
  <c r="HS299" i="9"/>
  <c r="HT299" i="9"/>
  <c r="HU299" i="9"/>
  <c r="HV299" i="9"/>
  <c r="HW299" i="9"/>
  <c r="HX299" i="9"/>
  <c r="HZ299" i="9"/>
  <c r="IA299" i="9"/>
  <c r="IB299" i="9"/>
  <c r="IC299" i="9"/>
  <c r="ID299" i="9"/>
  <c r="IE299" i="9"/>
  <c r="IF299" i="9"/>
  <c r="IH299" i="9"/>
  <c r="II299" i="9"/>
  <c r="IJ299" i="9"/>
  <c r="IK299" i="9"/>
  <c r="IL299" i="9"/>
  <c r="IM299" i="9"/>
  <c r="IN299" i="9"/>
  <c r="IP299" i="9"/>
  <c r="IQ299" i="9"/>
  <c r="IR299" i="9"/>
  <c r="IS299" i="9"/>
  <c r="IT299" i="9"/>
  <c r="IU299" i="9"/>
  <c r="IV299" i="9"/>
  <c r="B300" i="9"/>
  <c r="C300" i="9"/>
  <c r="D300" i="9"/>
  <c r="E300" i="9"/>
  <c r="F300" i="9"/>
  <c r="G300" i="9"/>
  <c r="H300" i="9"/>
  <c r="J300" i="9"/>
  <c r="K300" i="9"/>
  <c r="L300" i="9"/>
  <c r="M300" i="9"/>
  <c r="N300" i="9"/>
  <c r="O300" i="9"/>
  <c r="P300" i="9"/>
  <c r="R300" i="9"/>
  <c r="S300" i="9"/>
  <c r="T300" i="9"/>
  <c r="U300" i="9"/>
  <c r="V300" i="9"/>
  <c r="W300" i="9"/>
  <c r="X300" i="9"/>
  <c r="Z300" i="9"/>
  <c r="AA300" i="9"/>
  <c r="AB300" i="9"/>
  <c r="AC300" i="9"/>
  <c r="AD300" i="9"/>
  <c r="AE300" i="9"/>
  <c r="AF300" i="9"/>
  <c r="AH300" i="9"/>
  <c r="AI300" i="9"/>
  <c r="AJ300" i="9"/>
  <c r="AK300" i="9"/>
  <c r="AL300" i="9"/>
  <c r="AM300" i="9"/>
  <c r="AN300" i="9"/>
  <c r="AP300" i="9"/>
  <c r="AQ300" i="9"/>
  <c r="AR300" i="9"/>
  <c r="AS300" i="9"/>
  <c r="AT300" i="9"/>
  <c r="AU300" i="9"/>
  <c r="AV300" i="9"/>
  <c r="AX300" i="9"/>
  <c r="AY300" i="9"/>
  <c r="AZ300" i="9"/>
  <c r="BA300" i="9"/>
  <c r="BB300" i="9"/>
  <c r="BC300" i="9"/>
  <c r="BD300" i="9"/>
  <c r="BF300" i="9"/>
  <c r="BG300" i="9"/>
  <c r="BH300" i="9"/>
  <c r="BI300" i="9"/>
  <c r="BJ300" i="9"/>
  <c r="BK300" i="9"/>
  <c r="BL300" i="9"/>
  <c r="BN300" i="9"/>
  <c r="BO300" i="9"/>
  <c r="BP300" i="9"/>
  <c r="BQ300" i="9"/>
  <c r="BR300" i="9"/>
  <c r="BS300" i="9"/>
  <c r="BT300" i="9"/>
  <c r="BV300" i="9"/>
  <c r="BW300" i="9"/>
  <c r="BX300" i="9"/>
  <c r="BY300" i="9"/>
  <c r="BZ300" i="9"/>
  <c r="CA300" i="9"/>
  <c r="CB300" i="9"/>
  <c r="CD300" i="9"/>
  <c r="CE300" i="9"/>
  <c r="CF300" i="9"/>
  <c r="CG300" i="9"/>
  <c r="CH300" i="9"/>
  <c r="CI300" i="9"/>
  <c r="CJ300" i="9"/>
  <c r="CL300" i="9"/>
  <c r="CM300" i="9"/>
  <c r="CN300" i="9"/>
  <c r="CO300" i="9"/>
  <c r="CP300" i="9"/>
  <c r="CQ300" i="9"/>
  <c r="CR300" i="9"/>
  <c r="CT300" i="9"/>
  <c r="CU300" i="9"/>
  <c r="CV300" i="9"/>
  <c r="CW300" i="9"/>
  <c r="CX300" i="9"/>
  <c r="CY300" i="9"/>
  <c r="CZ300" i="9"/>
  <c r="DB300" i="9"/>
  <c r="DC300" i="9"/>
  <c r="DD300" i="9"/>
  <c r="DE300" i="9"/>
  <c r="DF300" i="9"/>
  <c r="DG300" i="9"/>
  <c r="DH300" i="9"/>
  <c r="DJ300" i="9"/>
  <c r="DK300" i="9"/>
  <c r="DL300" i="9"/>
  <c r="DM300" i="9"/>
  <c r="DN300" i="9"/>
  <c r="DO300" i="9"/>
  <c r="DP300" i="9"/>
  <c r="DR300" i="9"/>
  <c r="DS300" i="9"/>
  <c r="DT300" i="9"/>
  <c r="DU300" i="9"/>
  <c r="DV300" i="9"/>
  <c r="DW300" i="9"/>
  <c r="DX300" i="9"/>
  <c r="DZ300" i="9"/>
  <c r="EA300" i="9"/>
  <c r="EB300" i="9"/>
  <c r="EC300" i="9"/>
  <c r="ED300" i="9"/>
  <c r="EE300" i="9"/>
  <c r="EF300" i="9"/>
  <c r="EH300" i="9"/>
  <c r="EI300" i="9"/>
  <c r="EJ300" i="9"/>
  <c r="EK300" i="9"/>
  <c r="EL300" i="9"/>
  <c r="EM300" i="9"/>
  <c r="EN300" i="9"/>
  <c r="EP300" i="9"/>
  <c r="EQ300" i="9"/>
  <c r="ER300" i="9"/>
  <c r="ES300" i="9"/>
  <c r="ET300" i="9"/>
  <c r="EU300" i="9"/>
  <c r="EV300" i="9"/>
  <c r="EX300" i="9"/>
  <c r="EY300" i="9"/>
  <c r="EZ300" i="9"/>
  <c r="FA300" i="9"/>
  <c r="FB300" i="9"/>
  <c r="FC300" i="9"/>
  <c r="FD300" i="9"/>
  <c r="FF300" i="9"/>
  <c r="FG300" i="9"/>
  <c r="FH300" i="9"/>
  <c r="FI300" i="9"/>
  <c r="FJ300" i="9"/>
  <c r="FK300" i="9"/>
  <c r="FL300" i="9"/>
  <c r="FN300" i="9"/>
  <c r="FO300" i="9"/>
  <c r="FP300" i="9"/>
  <c r="FQ300" i="9"/>
  <c r="FR300" i="9"/>
  <c r="FS300" i="9"/>
  <c r="FT300" i="9"/>
  <c r="FV300" i="9"/>
  <c r="FW300" i="9"/>
  <c r="FX300" i="9"/>
  <c r="FY300" i="9"/>
  <c r="FZ300" i="9"/>
  <c r="GA300" i="9"/>
  <c r="GB300" i="9"/>
  <c r="GD300" i="9"/>
  <c r="GE300" i="9"/>
  <c r="GF300" i="9"/>
  <c r="GG300" i="9"/>
  <c r="GH300" i="9"/>
  <c r="GI300" i="9"/>
  <c r="GJ300" i="9"/>
  <c r="GL300" i="9"/>
  <c r="GM300" i="9"/>
  <c r="GN300" i="9"/>
  <c r="GO300" i="9"/>
  <c r="GP300" i="9"/>
  <c r="GQ300" i="9"/>
  <c r="GR300" i="9"/>
  <c r="GT300" i="9"/>
  <c r="GU300" i="9"/>
  <c r="GV300" i="9"/>
  <c r="GW300" i="9"/>
  <c r="GX300" i="9"/>
  <c r="GY300" i="9"/>
  <c r="GZ300" i="9"/>
  <c r="HB300" i="9"/>
  <c r="HC300" i="9"/>
  <c r="HD300" i="9"/>
  <c r="HE300" i="9"/>
  <c r="HF300" i="9"/>
  <c r="HG300" i="9"/>
  <c r="HH300" i="9"/>
  <c r="HJ300" i="9"/>
  <c r="HK300" i="9"/>
  <c r="HL300" i="9"/>
  <c r="HM300" i="9"/>
  <c r="HN300" i="9"/>
  <c r="HO300" i="9"/>
  <c r="HP300" i="9"/>
  <c r="HR300" i="9"/>
  <c r="HS300" i="9"/>
  <c r="HT300" i="9"/>
  <c r="HU300" i="9"/>
  <c r="HV300" i="9"/>
  <c r="HW300" i="9"/>
  <c r="HX300" i="9"/>
  <c r="HZ300" i="9"/>
  <c r="IA300" i="9"/>
  <c r="IB300" i="9"/>
  <c r="IC300" i="9"/>
  <c r="ID300" i="9"/>
  <c r="IE300" i="9"/>
  <c r="IF300" i="9"/>
  <c r="IH300" i="9"/>
  <c r="II300" i="9"/>
  <c r="IJ300" i="9"/>
  <c r="IK300" i="9"/>
  <c r="IL300" i="9"/>
  <c r="IM300" i="9"/>
  <c r="IN300" i="9"/>
  <c r="IP300" i="9"/>
  <c r="IQ300" i="9"/>
  <c r="IR300" i="9"/>
  <c r="IS300" i="9"/>
  <c r="IT300" i="9"/>
  <c r="IU300" i="9"/>
  <c r="IV300" i="9"/>
  <c r="B301" i="9"/>
  <c r="C301" i="9"/>
  <c r="D301" i="9"/>
  <c r="E301" i="9"/>
  <c r="F301" i="9"/>
  <c r="G301" i="9"/>
  <c r="H301" i="9"/>
  <c r="J301" i="9"/>
  <c r="K301" i="9"/>
  <c r="L301" i="9"/>
  <c r="M301" i="9"/>
  <c r="N301" i="9"/>
  <c r="O301" i="9"/>
  <c r="P301" i="9"/>
  <c r="R301" i="9"/>
  <c r="S301" i="9"/>
  <c r="T301" i="9"/>
  <c r="U301" i="9"/>
  <c r="V301" i="9"/>
  <c r="W301" i="9"/>
  <c r="X301" i="9"/>
  <c r="Z301" i="9"/>
  <c r="AA301" i="9"/>
  <c r="AB301" i="9"/>
  <c r="AC301" i="9"/>
  <c r="AD301" i="9"/>
  <c r="AE301" i="9"/>
  <c r="AF301" i="9"/>
  <c r="AH301" i="9"/>
  <c r="AI301" i="9"/>
  <c r="AJ301" i="9"/>
  <c r="AK301" i="9"/>
  <c r="AL301" i="9"/>
  <c r="AM301" i="9"/>
  <c r="AN301" i="9"/>
  <c r="AP301" i="9"/>
  <c r="AQ301" i="9"/>
  <c r="AR301" i="9"/>
  <c r="AS301" i="9"/>
  <c r="AT301" i="9"/>
  <c r="AU301" i="9"/>
  <c r="AV301" i="9"/>
  <c r="AX301" i="9"/>
  <c r="AY301" i="9"/>
  <c r="AZ301" i="9"/>
  <c r="BA301" i="9"/>
  <c r="BB301" i="9"/>
  <c r="BC301" i="9"/>
  <c r="BD301" i="9"/>
  <c r="BF301" i="9"/>
  <c r="BG301" i="9"/>
  <c r="BH301" i="9"/>
  <c r="BI301" i="9"/>
  <c r="BJ301" i="9"/>
  <c r="BK301" i="9"/>
  <c r="BL301" i="9"/>
  <c r="BN301" i="9"/>
  <c r="BO301" i="9"/>
  <c r="BP301" i="9"/>
  <c r="BQ301" i="9"/>
  <c r="BR301" i="9"/>
  <c r="BS301" i="9"/>
  <c r="BT301" i="9"/>
  <c r="BV301" i="9"/>
  <c r="BW301" i="9"/>
  <c r="BX301" i="9"/>
  <c r="BY301" i="9"/>
  <c r="BZ301" i="9"/>
  <c r="CA301" i="9"/>
  <c r="CB301" i="9"/>
  <c r="CD301" i="9"/>
  <c r="CE301" i="9"/>
  <c r="CF301" i="9"/>
  <c r="CG301" i="9"/>
  <c r="CH301" i="9"/>
  <c r="CI301" i="9"/>
  <c r="CJ301" i="9"/>
  <c r="CL301" i="9"/>
  <c r="CM301" i="9"/>
  <c r="CN301" i="9"/>
  <c r="CO301" i="9"/>
  <c r="CP301" i="9"/>
  <c r="CQ301" i="9"/>
  <c r="CR301" i="9"/>
  <c r="CT301" i="9"/>
  <c r="CU301" i="9"/>
  <c r="CV301" i="9"/>
  <c r="CW301" i="9"/>
  <c r="CX301" i="9"/>
  <c r="CY301" i="9"/>
  <c r="CZ301" i="9"/>
  <c r="DB301" i="9"/>
  <c r="DC301" i="9"/>
  <c r="DD301" i="9"/>
  <c r="DE301" i="9"/>
  <c r="DF301" i="9"/>
  <c r="DG301" i="9"/>
  <c r="DH301" i="9"/>
  <c r="DJ301" i="9"/>
  <c r="DK301" i="9"/>
  <c r="DL301" i="9"/>
  <c r="DM301" i="9"/>
  <c r="DN301" i="9"/>
  <c r="DO301" i="9"/>
  <c r="DP301" i="9"/>
  <c r="DR301" i="9"/>
  <c r="DS301" i="9"/>
  <c r="DT301" i="9"/>
  <c r="DU301" i="9"/>
  <c r="DV301" i="9"/>
  <c r="DW301" i="9"/>
  <c r="DX301" i="9"/>
  <c r="DZ301" i="9"/>
  <c r="EA301" i="9"/>
  <c r="EB301" i="9"/>
  <c r="EC301" i="9"/>
  <c r="ED301" i="9"/>
  <c r="EE301" i="9"/>
  <c r="EF301" i="9"/>
  <c r="EH301" i="9"/>
  <c r="EI301" i="9"/>
  <c r="EJ301" i="9"/>
  <c r="EK301" i="9"/>
  <c r="EL301" i="9"/>
  <c r="EM301" i="9"/>
  <c r="EN301" i="9"/>
  <c r="EP301" i="9"/>
  <c r="EQ301" i="9"/>
  <c r="ER301" i="9"/>
  <c r="ES301" i="9"/>
  <c r="ET301" i="9"/>
  <c r="EU301" i="9"/>
  <c r="EV301" i="9"/>
  <c r="EX301" i="9"/>
  <c r="EY301" i="9"/>
  <c r="EZ301" i="9"/>
  <c r="FA301" i="9"/>
  <c r="FB301" i="9"/>
  <c r="FC301" i="9"/>
  <c r="FD301" i="9"/>
  <c r="FF301" i="9"/>
  <c r="FG301" i="9"/>
  <c r="FH301" i="9"/>
  <c r="FI301" i="9"/>
  <c r="FJ301" i="9"/>
  <c r="FK301" i="9"/>
  <c r="FL301" i="9"/>
  <c r="FN301" i="9"/>
  <c r="FO301" i="9"/>
  <c r="FP301" i="9"/>
  <c r="FQ301" i="9"/>
  <c r="FR301" i="9"/>
  <c r="FS301" i="9"/>
  <c r="FT301" i="9"/>
  <c r="FV301" i="9"/>
  <c r="FW301" i="9"/>
  <c r="FX301" i="9"/>
  <c r="FY301" i="9"/>
  <c r="FZ301" i="9"/>
  <c r="GA301" i="9"/>
  <c r="GB301" i="9"/>
  <c r="GD301" i="9"/>
  <c r="GE301" i="9"/>
  <c r="GF301" i="9"/>
  <c r="GG301" i="9"/>
  <c r="GH301" i="9"/>
  <c r="GI301" i="9"/>
  <c r="GJ301" i="9"/>
  <c r="GL301" i="9"/>
  <c r="GM301" i="9"/>
  <c r="GN301" i="9"/>
  <c r="GO301" i="9"/>
  <c r="GP301" i="9"/>
  <c r="GQ301" i="9"/>
  <c r="GR301" i="9"/>
  <c r="GT301" i="9"/>
  <c r="GU301" i="9"/>
  <c r="GV301" i="9"/>
  <c r="GW301" i="9"/>
  <c r="GX301" i="9"/>
  <c r="GY301" i="9"/>
  <c r="GZ301" i="9"/>
  <c r="HB301" i="9"/>
  <c r="HC301" i="9"/>
  <c r="HD301" i="9"/>
  <c r="HE301" i="9"/>
  <c r="HF301" i="9"/>
  <c r="HG301" i="9"/>
  <c r="HH301" i="9"/>
  <c r="HJ301" i="9"/>
  <c r="HK301" i="9"/>
  <c r="HL301" i="9"/>
  <c r="HM301" i="9"/>
  <c r="HN301" i="9"/>
  <c r="HO301" i="9"/>
  <c r="HP301" i="9"/>
  <c r="HR301" i="9"/>
  <c r="HS301" i="9"/>
  <c r="HT301" i="9"/>
  <c r="HU301" i="9"/>
  <c r="HV301" i="9"/>
  <c r="HW301" i="9"/>
  <c r="HX301" i="9"/>
  <c r="HZ301" i="9"/>
  <c r="IA301" i="9"/>
  <c r="IB301" i="9"/>
  <c r="IC301" i="9"/>
  <c r="ID301" i="9"/>
  <c r="IE301" i="9"/>
  <c r="IF301" i="9"/>
  <c r="IH301" i="9"/>
  <c r="II301" i="9"/>
  <c r="IJ301" i="9"/>
  <c r="IK301" i="9"/>
  <c r="IL301" i="9"/>
  <c r="IM301" i="9"/>
  <c r="IN301" i="9"/>
  <c r="IP301" i="9"/>
  <c r="IQ301" i="9"/>
  <c r="IR301" i="9"/>
  <c r="IS301" i="9"/>
  <c r="IT301" i="9"/>
  <c r="IU301" i="9"/>
  <c r="IV301" i="9"/>
  <c r="B302" i="9"/>
  <c r="C302" i="9"/>
  <c r="D302" i="9"/>
  <c r="E302" i="9"/>
  <c r="F302" i="9"/>
  <c r="G302" i="9"/>
  <c r="H302" i="9"/>
  <c r="F303" i="9"/>
  <c r="H303" i="9"/>
  <c r="J302" i="9"/>
  <c r="K302" i="9"/>
  <c r="L302" i="9"/>
  <c r="M302" i="9"/>
  <c r="N302" i="9"/>
  <c r="O302" i="9"/>
  <c r="P302" i="9"/>
  <c r="R302" i="9"/>
  <c r="S302" i="9"/>
  <c r="T302" i="9"/>
  <c r="U302" i="9"/>
  <c r="V302" i="9"/>
  <c r="W302" i="9"/>
  <c r="X302" i="9"/>
  <c r="Z302" i="9"/>
  <c r="AA302" i="9"/>
  <c r="AB302" i="9"/>
  <c r="AC302" i="9"/>
  <c r="AD302" i="9"/>
  <c r="AE302" i="9"/>
  <c r="AF302" i="9"/>
  <c r="AH302" i="9"/>
  <c r="AI302" i="9"/>
  <c r="AJ302" i="9"/>
  <c r="AK302" i="9"/>
  <c r="AL302" i="9"/>
  <c r="AM302" i="9"/>
  <c r="AN302" i="9"/>
  <c r="AP302" i="9"/>
  <c r="AQ302" i="9"/>
  <c r="AR302" i="9"/>
  <c r="AS302" i="9"/>
  <c r="AT302" i="9"/>
  <c r="AU302" i="9"/>
  <c r="AV302" i="9"/>
  <c r="AX302" i="9"/>
  <c r="AY302" i="9"/>
  <c r="AZ302" i="9"/>
  <c r="BA302" i="9"/>
  <c r="BB302" i="9"/>
  <c r="BC302" i="9"/>
  <c r="BD302" i="9"/>
  <c r="BF302" i="9"/>
  <c r="BG302" i="9"/>
  <c r="BH302" i="9"/>
  <c r="BI302" i="9"/>
  <c r="BJ302" i="9"/>
  <c r="BK302" i="9"/>
  <c r="BL302" i="9"/>
  <c r="BN302" i="9"/>
  <c r="BO302" i="9"/>
  <c r="BP302" i="9"/>
  <c r="BQ302" i="9"/>
  <c r="BR302" i="9"/>
  <c r="BS302" i="9"/>
  <c r="BT302" i="9"/>
  <c r="BV302" i="9"/>
  <c r="BW302" i="9"/>
  <c r="BX302" i="9"/>
  <c r="BY302" i="9"/>
  <c r="BZ302" i="9"/>
  <c r="CA302" i="9"/>
  <c r="CB302" i="9"/>
  <c r="CD302" i="9"/>
  <c r="CE302" i="9"/>
  <c r="CF302" i="9"/>
  <c r="CG302" i="9"/>
  <c r="CH302" i="9"/>
  <c r="CI302" i="9"/>
  <c r="CJ302" i="9"/>
  <c r="CL302" i="9"/>
  <c r="CM302" i="9"/>
  <c r="CN302" i="9"/>
  <c r="CO302" i="9"/>
  <c r="CP302" i="9"/>
  <c r="CQ302" i="9"/>
  <c r="CR302" i="9"/>
  <c r="CT302" i="9"/>
  <c r="CU302" i="9"/>
  <c r="CV302" i="9"/>
  <c r="CW302" i="9"/>
  <c r="CX302" i="9"/>
  <c r="CY302" i="9"/>
  <c r="CZ302" i="9"/>
  <c r="DB302" i="9"/>
  <c r="DC302" i="9"/>
  <c r="DD302" i="9"/>
  <c r="DE302" i="9"/>
  <c r="DF302" i="9"/>
  <c r="DG302" i="9"/>
  <c r="DH302" i="9"/>
  <c r="DJ302" i="9"/>
  <c r="DK302" i="9"/>
  <c r="DL302" i="9"/>
  <c r="DM302" i="9"/>
  <c r="DN302" i="9"/>
  <c r="DO302" i="9"/>
  <c r="DP302" i="9"/>
  <c r="DR302" i="9"/>
  <c r="DS302" i="9"/>
  <c r="DT302" i="9"/>
  <c r="DU302" i="9"/>
  <c r="DV302" i="9"/>
  <c r="DW302" i="9"/>
  <c r="DX302" i="9"/>
  <c r="DZ302" i="9"/>
  <c r="EA302" i="9"/>
  <c r="EB302" i="9"/>
  <c r="EC302" i="9"/>
  <c r="ED302" i="9"/>
  <c r="EE302" i="9"/>
  <c r="EF302" i="9"/>
  <c r="EH302" i="9"/>
  <c r="EI302" i="9"/>
  <c r="EJ302" i="9"/>
  <c r="EK302" i="9"/>
  <c r="EL302" i="9"/>
  <c r="EM302" i="9"/>
  <c r="EN302" i="9"/>
  <c r="EP302" i="9"/>
  <c r="EQ302" i="9"/>
  <c r="ER302" i="9"/>
  <c r="ES302" i="9"/>
  <c r="ET302" i="9"/>
  <c r="EU302" i="9"/>
  <c r="EV302" i="9"/>
  <c r="EX302" i="9"/>
  <c r="EY302" i="9"/>
  <c r="EZ302" i="9"/>
  <c r="FA302" i="9"/>
  <c r="FB302" i="9"/>
  <c r="FC302" i="9"/>
  <c r="FD302" i="9"/>
  <c r="FF302" i="9"/>
  <c r="FG302" i="9"/>
  <c r="FH302" i="9"/>
  <c r="FI302" i="9"/>
  <c r="FJ302" i="9"/>
  <c r="FK302" i="9"/>
  <c r="FL302" i="9"/>
  <c r="FN302" i="9"/>
  <c r="FO302" i="9"/>
  <c r="FP302" i="9"/>
  <c r="FQ302" i="9"/>
  <c r="FR302" i="9"/>
  <c r="FS302" i="9"/>
  <c r="FT302" i="9"/>
  <c r="FV302" i="9"/>
  <c r="FW302" i="9"/>
  <c r="FX302" i="9"/>
  <c r="FY302" i="9"/>
  <c r="FZ302" i="9"/>
  <c r="GA302" i="9"/>
  <c r="GB302" i="9"/>
  <c r="GD302" i="9"/>
  <c r="GE302" i="9"/>
  <c r="GF302" i="9"/>
  <c r="GG302" i="9"/>
  <c r="GH302" i="9"/>
  <c r="GI302" i="9"/>
  <c r="GJ302" i="9"/>
  <c r="GL302" i="9"/>
  <c r="GM302" i="9"/>
  <c r="GN302" i="9"/>
  <c r="GO302" i="9"/>
  <c r="GP302" i="9"/>
  <c r="GQ302" i="9"/>
  <c r="GR302" i="9"/>
  <c r="GT302" i="9"/>
  <c r="GU302" i="9"/>
  <c r="GV302" i="9"/>
  <c r="GW302" i="9"/>
  <c r="GX302" i="9"/>
  <c r="GY302" i="9"/>
  <c r="GZ302" i="9"/>
  <c r="HB302" i="9"/>
  <c r="HC302" i="9"/>
  <c r="HD302" i="9"/>
  <c r="HE302" i="9"/>
  <c r="HF302" i="9"/>
  <c r="HG302" i="9"/>
  <c r="HH302" i="9"/>
  <c r="HJ302" i="9"/>
  <c r="HK302" i="9"/>
  <c r="HL302" i="9"/>
  <c r="HM302" i="9"/>
  <c r="HN302" i="9"/>
  <c r="HO302" i="9"/>
  <c r="HP302" i="9"/>
  <c r="HR302" i="9"/>
  <c r="HS302" i="9"/>
  <c r="HT302" i="9"/>
  <c r="HU302" i="9"/>
  <c r="HV302" i="9"/>
  <c r="HW302" i="9"/>
  <c r="HX302" i="9"/>
  <c r="HZ302" i="9"/>
  <c r="IA302" i="9"/>
  <c r="IB302" i="9"/>
  <c r="IC302" i="9"/>
  <c r="ID302" i="9"/>
  <c r="IE302" i="9"/>
  <c r="IF302" i="9"/>
  <c r="IH302" i="9"/>
  <c r="II302" i="9"/>
  <c r="IJ302" i="9"/>
  <c r="IK302" i="9"/>
  <c r="IL302" i="9"/>
  <c r="IM302" i="9"/>
  <c r="IN302" i="9"/>
  <c r="IP302" i="9"/>
  <c r="IQ302" i="9"/>
  <c r="IR302" i="9"/>
  <c r="IS302" i="9"/>
  <c r="IT302" i="9"/>
  <c r="IU302" i="9"/>
  <c r="IV302" i="9"/>
  <c r="B303" i="9"/>
  <c r="C303" i="9"/>
  <c r="D303" i="9"/>
  <c r="E303" i="9"/>
  <c r="G303" i="9"/>
  <c r="J303" i="9"/>
  <c r="K303" i="9"/>
  <c r="L303" i="9"/>
  <c r="M303" i="9"/>
  <c r="N303" i="9"/>
  <c r="O303" i="9"/>
  <c r="P303" i="9"/>
  <c r="R303" i="9"/>
  <c r="S303" i="9"/>
  <c r="T303" i="9"/>
  <c r="U303" i="9"/>
  <c r="V303" i="9"/>
  <c r="W303" i="9"/>
  <c r="X303" i="9"/>
  <c r="Z303" i="9"/>
  <c r="AA303" i="9"/>
  <c r="AB303" i="9"/>
  <c r="AC303" i="9"/>
  <c r="AD303" i="9"/>
  <c r="AE303" i="9"/>
  <c r="AF303" i="9"/>
  <c r="AH303" i="9"/>
  <c r="AI303" i="9"/>
  <c r="AJ303" i="9"/>
  <c r="AK303" i="9"/>
  <c r="AL303" i="9"/>
  <c r="AM303" i="9"/>
  <c r="AN303" i="9"/>
  <c r="AP303" i="9"/>
  <c r="AQ303" i="9"/>
  <c r="AR303" i="9"/>
  <c r="AS303" i="9"/>
  <c r="AT303" i="9"/>
  <c r="AU303" i="9"/>
  <c r="AV303" i="9"/>
  <c r="AX303" i="9"/>
  <c r="AY303" i="9"/>
  <c r="AZ303" i="9"/>
  <c r="BA303" i="9"/>
  <c r="BB303" i="9"/>
  <c r="BC303" i="9"/>
  <c r="BD303" i="9"/>
  <c r="BF303" i="9"/>
  <c r="BG303" i="9"/>
  <c r="BH303" i="9"/>
  <c r="BI303" i="9"/>
  <c r="BJ303" i="9"/>
  <c r="BK303" i="9"/>
  <c r="BL303" i="9"/>
  <c r="BN303" i="9"/>
  <c r="BO303" i="9"/>
  <c r="BP303" i="9"/>
  <c r="BQ303" i="9"/>
  <c r="BR303" i="9"/>
  <c r="BS303" i="9"/>
  <c r="BT303" i="9"/>
  <c r="BV303" i="9"/>
  <c r="BW303" i="9"/>
  <c r="BX303" i="9"/>
  <c r="BY303" i="9"/>
  <c r="BZ303" i="9"/>
  <c r="CA303" i="9"/>
  <c r="CB303" i="9"/>
  <c r="CD303" i="9"/>
  <c r="CE303" i="9"/>
  <c r="CF303" i="9"/>
  <c r="CG303" i="9"/>
  <c r="CH303" i="9"/>
  <c r="CI303" i="9"/>
  <c r="CJ303" i="9"/>
  <c r="CL303" i="9"/>
  <c r="CM303" i="9"/>
  <c r="CN303" i="9"/>
  <c r="CO303" i="9"/>
  <c r="CP303" i="9"/>
  <c r="CQ303" i="9"/>
  <c r="CR303" i="9"/>
  <c r="CT303" i="9"/>
  <c r="CU303" i="9"/>
  <c r="CV303" i="9"/>
  <c r="CW303" i="9"/>
  <c r="CX303" i="9"/>
  <c r="CY303" i="9"/>
  <c r="CZ303" i="9"/>
  <c r="DB303" i="9"/>
  <c r="DC303" i="9"/>
  <c r="DD303" i="9"/>
  <c r="DE303" i="9"/>
  <c r="DF303" i="9"/>
  <c r="DG303" i="9"/>
  <c r="DH303" i="9"/>
  <c r="DJ303" i="9"/>
  <c r="DK303" i="9"/>
  <c r="DL303" i="9"/>
  <c r="DM303" i="9"/>
  <c r="DN303" i="9"/>
  <c r="DO303" i="9"/>
  <c r="DP303" i="9"/>
  <c r="DR303" i="9"/>
  <c r="DS303" i="9"/>
  <c r="DT303" i="9"/>
  <c r="DU303" i="9"/>
  <c r="DV303" i="9"/>
  <c r="DW303" i="9"/>
  <c r="DX303" i="9"/>
  <c r="DZ303" i="9"/>
  <c r="EA303" i="9"/>
  <c r="EB303" i="9"/>
  <c r="EC303" i="9"/>
  <c r="ED303" i="9"/>
  <c r="EE303" i="9"/>
  <c r="EF303" i="9"/>
  <c r="EH303" i="9"/>
  <c r="EI303" i="9"/>
  <c r="EJ303" i="9"/>
  <c r="EK303" i="9"/>
  <c r="EL303" i="9"/>
  <c r="EM303" i="9"/>
  <c r="EN303" i="9"/>
  <c r="EP303" i="9"/>
  <c r="EQ303" i="9"/>
  <c r="ER303" i="9"/>
  <c r="ES303" i="9"/>
  <c r="ET303" i="9"/>
  <c r="EU303" i="9"/>
  <c r="EV303" i="9"/>
  <c r="EX303" i="9"/>
  <c r="EY303" i="9"/>
  <c r="EZ303" i="9"/>
  <c r="FA303" i="9"/>
  <c r="FB303" i="9"/>
  <c r="FC303" i="9"/>
  <c r="FD303" i="9"/>
  <c r="FF303" i="9"/>
  <c r="FG303" i="9"/>
  <c r="FH303" i="9"/>
  <c r="FI303" i="9"/>
  <c r="FJ303" i="9"/>
  <c r="FK303" i="9"/>
  <c r="FL303" i="9"/>
  <c r="FN303" i="9"/>
  <c r="FO303" i="9"/>
  <c r="FP303" i="9"/>
  <c r="FQ303" i="9"/>
  <c r="FR303" i="9"/>
  <c r="FS303" i="9"/>
  <c r="FT303" i="9"/>
  <c r="FV303" i="9"/>
  <c r="FW303" i="9"/>
  <c r="FX303" i="9"/>
  <c r="FY303" i="9"/>
  <c r="FZ303" i="9"/>
  <c r="GA303" i="9"/>
  <c r="GB303" i="9"/>
  <c r="GD303" i="9"/>
  <c r="GE303" i="9"/>
  <c r="GF303" i="9"/>
  <c r="GG303" i="9"/>
  <c r="GH303" i="9"/>
  <c r="GI303" i="9"/>
  <c r="GJ303" i="9"/>
  <c r="GL303" i="9"/>
  <c r="GM303" i="9"/>
  <c r="GN303" i="9"/>
  <c r="GO303" i="9"/>
  <c r="GP303" i="9"/>
  <c r="GQ303" i="9"/>
  <c r="GR303" i="9"/>
  <c r="GT303" i="9"/>
  <c r="GU303" i="9"/>
  <c r="GV303" i="9"/>
  <c r="GW303" i="9"/>
  <c r="GX303" i="9"/>
  <c r="GY303" i="9"/>
  <c r="GZ303" i="9"/>
  <c r="HB303" i="9"/>
  <c r="HC303" i="9"/>
  <c r="HD303" i="9"/>
  <c r="HE303" i="9"/>
  <c r="HF303" i="9"/>
  <c r="HG303" i="9"/>
  <c r="HH303" i="9"/>
  <c r="HJ303" i="9"/>
  <c r="HK303" i="9"/>
  <c r="HL303" i="9"/>
  <c r="HM303" i="9"/>
  <c r="HN303" i="9"/>
  <c r="HO303" i="9"/>
  <c r="HP303" i="9"/>
  <c r="HR303" i="9"/>
  <c r="HS303" i="9"/>
  <c r="HT303" i="9"/>
  <c r="HU303" i="9"/>
  <c r="HV303" i="9"/>
  <c r="HW303" i="9"/>
  <c r="HX303" i="9"/>
  <c r="HZ303" i="9"/>
  <c r="IA303" i="9"/>
  <c r="IB303" i="9"/>
  <c r="IC303" i="9"/>
  <c r="ID303" i="9"/>
  <c r="IE303" i="9"/>
  <c r="IF303" i="9"/>
  <c r="IH303" i="9"/>
  <c r="II303" i="9"/>
  <c r="IJ303" i="9"/>
  <c r="IK303" i="9"/>
  <c r="IL303" i="9"/>
  <c r="IM303" i="9"/>
  <c r="IN303" i="9"/>
  <c r="IP303" i="9"/>
  <c r="IQ303" i="9"/>
  <c r="IR303" i="9"/>
  <c r="IS303" i="9"/>
  <c r="IT303" i="9"/>
  <c r="IU303" i="9"/>
  <c r="IV303" i="9"/>
  <c r="C304" i="9"/>
  <c r="D304" i="9"/>
  <c r="E304" i="9"/>
  <c r="G304" i="9"/>
  <c r="K304" i="9"/>
  <c r="L304" i="9"/>
  <c r="M304" i="9"/>
  <c r="N304" i="9"/>
  <c r="O304" i="9"/>
  <c r="P304" i="9"/>
  <c r="S304" i="9"/>
  <c r="T304" i="9"/>
  <c r="U304" i="9"/>
  <c r="V304" i="9"/>
  <c r="W304" i="9"/>
  <c r="X304" i="9"/>
  <c r="AA304" i="9"/>
  <c r="AB304" i="9"/>
  <c r="AC304" i="9"/>
  <c r="AD304" i="9"/>
  <c r="AE304" i="9"/>
  <c r="AF304" i="9"/>
  <c r="AI304" i="9"/>
  <c r="AJ304" i="9"/>
  <c r="AK304" i="9"/>
  <c r="AL304" i="9"/>
  <c r="AM304" i="9"/>
  <c r="AN304" i="9"/>
  <c r="AQ304" i="9"/>
  <c r="AR304" i="9"/>
  <c r="AS304" i="9"/>
  <c r="AT304" i="9"/>
  <c r="AU304" i="9"/>
  <c r="AV304" i="9"/>
  <c r="AY304" i="9"/>
  <c r="AZ304" i="9"/>
  <c r="BA304" i="9"/>
  <c r="BB304" i="9"/>
  <c r="BC304" i="9"/>
  <c r="BD304" i="9"/>
  <c r="BG304" i="9"/>
  <c r="BH304" i="9"/>
  <c r="BI304" i="9"/>
  <c r="BJ304" i="9"/>
  <c r="BK304" i="9"/>
  <c r="BL304" i="9"/>
  <c r="BO304" i="9"/>
  <c r="BP304" i="9"/>
  <c r="BQ304" i="9"/>
  <c r="BR304" i="9"/>
  <c r="BS304" i="9"/>
  <c r="BT304" i="9"/>
  <c r="BW304" i="9"/>
  <c r="BX304" i="9"/>
  <c r="BY304" i="9"/>
  <c r="BZ304" i="9"/>
  <c r="CA304" i="9"/>
  <c r="CB304" i="9"/>
  <c r="CE304" i="9"/>
  <c r="CF304" i="9"/>
  <c r="CG304" i="9"/>
  <c r="CH304" i="9"/>
  <c r="CI304" i="9"/>
  <c r="CJ304" i="9"/>
  <c r="CM304" i="9"/>
  <c r="CN304" i="9"/>
  <c r="CO304" i="9"/>
  <c r="CP304" i="9"/>
  <c r="CQ304" i="9"/>
  <c r="CR304" i="9"/>
  <c r="CU304" i="9"/>
  <c r="CV304" i="9"/>
  <c r="CW304" i="9"/>
  <c r="CX304" i="9"/>
  <c r="CY304" i="9"/>
  <c r="CZ304" i="9"/>
  <c r="DC304" i="9"/>
  <c r="DD304" i="9"/>
  <c r="DE304" i="9"/>
  <c r="DF304" i="9"/>
  <c r="DG304" i="9"/>
  <c r="DH304" i="9"/>
  <c r="DK304" i="9"/>
  <c r="DL304" i="9"/>
  <c r="DM304" i="9"/>
  <c r="DN304" i="9"/>
  <c r="DO304" i="9"/>
  <c r="DP304" i="9"/>
  <c r="DS304" i="9"/>
  <c r="DT304" i="9"/>
  <c r="DU304" i="9"/>
  <c r="DV304" i="9"/>
  <c r="DW304" i="9"/>
  <c r="DX304" i="9"/>
  <c r="EA304" i="9"/>
  <c r="EB304" i="9"/>
  <c r="EC304" i="9"/>
  <c r="ED304" i="9"/>
  <c r="EE304" i="9"/>
  <c r="EF304" i="9"/>
  <c r="EI304" i="9"/>
  <c r="EJ304" i="9"/>
  <c r="EK304" i="9"/>
  <c r="EL304" i="9"/>
  <c r="EM304" i="9"/>
  <c r="EN304" i="9"/>
  <c r="EQ304" i="9"/>
  <c r="ER304" i="9"/>
  <c r="ES304" i="9"/>
  <c r="ET304" i="9"/>
  <c r="EU304" i="9"/>
  <c r="EV304" i="9"/>
  <c r="EY304" i="9"/>
  <c r="EZ304" i="9"/>
  <c r="FA304" i="9"/>
  <c r="FB304" i="9"/>
  <c r="FC304" i="9"/>
  <c r="FD304" i="9"/>
  <c r="FG304" i="9"/>
  <c r="FH304" i="9"/>
  <c r="FI304" i="9"/>
  <c r="FJ304" i="9"/>
  <c r="FK304" i="9"/>
  <c r="FL304" i="9"/>
  <c r="FO304" i="9"/>
  <c r="FP304" i="9"/>
  <c r="FQ304" i="9"/>
  <c r="FR304" i="9"/>
  <c r="FS304" i="9"/>
  <c r="FT304" i="9"/>
  <c r="FW304" i="9"/>
  <c r="FX304" i="9"/>
  <c r="FY304" i="9"/>
  <c r="FZ304" i="9"/>
  <c r="GA304" i="9"/>
  <c r="GB304" i="9"/>
  <c r="GE304" i="9"/>
  <c r="GF304" i="9"/>
  <c r="GG304" i="9"/>
  <c r="GH304" i="9"/>
  <c r="GI304" i="9"/>
  <c r="GJ304" i="9"/>
  <c r="GM304" i="9"/>
  <c r="GN304" i="9"/>
  <c r="GO304" i="9"/>
  <c r="GP304" i="9"/>
  <c r="GQ304" i="9"/>
  <c r="GR304" i="9"/>
  <c r="GU304" i="9"/>
  <c r="GV304" i="9"/>
  <c r="GW304" i="9"/>
  <c r="GX304" i="9"/>
  <c r="GY304" i="9"/>
  <c r="GZ304" i="9"/>
  <c r="HC304" i="9"/>
  <c r="HD304" i="9"/>
  <c r="HE304" i="9"/>
  <c r="HF304" i="9"/>
  <c r="HG304" i="9"/>
  <c r="HH304" i="9"/>
  <c r="HK304" i="9"/>
  <c r="HL304" i="9"/>
  <c r="HM304" i="9"/>
  <c r="HN304" i="9"/>
  <c r="HO304" i="9"/>
  <c r="HP304" i="9"/>
  <c r="HS304" i="9"/>
  <c r="HT304" i="9"/>
  <c r="HU304" i="9"/>
  <c r="HV304" i="9"/>
  <c r="HW304" i="9"/>
  <c r="HX304" i="9"/>
  <c r="IA304" i="9"/>
  <c r="IB304" i="9"/>
  <c r="IC304" i="9"/>
  <c r="ID304" i="9"/>
  <c r="IE304" i="9"/>
  <c r="IF304" i="9"/>
  <c r="II304" i="9"/>
  <c r="IJ304" i="9"/>
  <c r="IK304" i="9"/>
  <c r="IL304" i="9"/>
  <c r="IM304" i="9"/>
  <c r="IN304" i="9"/>
  <c r="IQ304" i="9"/>
  <c r="IR304" i="9"/>
  <c r="IS304" i="9"/>
  <c r="IT304" i="9"/>
  <c r="IU304" i="9"/>
  <c r="IV304" i="9"/>
  <c r="B305" i="9"/>
  <c r="C305" i="9"/>
  <c r="D305" i="9"/>
  <c r="E305" i="9"/>
  <c r="F305" i="9"/>
  <c r="G305" i="9"/>
  <c r="H305" i="9"/>
  <c r="J305" i="9"/>
  <c r="K305" i="9"/>
  <c r="L305" i="9"/>
  <c r="M305" i="9"/>
  <c r="N305" i="9"/>
  <c r="O305" i="9"/>
  <c r="P305" i="9"/>
  <c r="R305" i="9"/>
  <c r="S305" i="9"/>
  <c r="T305" i="9"/>
  <c r="U305" i="9"/>
  <c r="V305" i="9"/>
  <c r="W305" i="9"/>
  <c r="X305" i="9"/>
  <c r="Z305" i="9"/>
  <c r="AA305" i="9"/>
  <c r="AB305" i="9"/>
  <c r="AC305" i="9"/>
  <c r="AD305" i="9"/>
  <c r="AE305" i="9"/>
  <c r="AF305" i="9"/>
  <c r="AH305" i="9"/>
  <c r="AI305" i="9"/>
  <c r="AJ305" i="9"/>
  <c r="AK305" i="9"/>
  <c r="AL305" i="9"/>
  <c r="AM305" i="9"/>
  <c r="AN305" i="9"/>
  <c r="AP305" i="9"/>
  <c r="AQ305" i="9"/>
  <c r="AR305" i="9"/>
  <c r="AS305" i="9"/>
  <c r="AT305" i="9"/>
  <c r="AU305" i="9"/>
  <c r="AV305" i="9"/>
  <c r="AX305" i="9"/>
  <c r="AY305" i="9"/>
  <c r="AZ305" i="9"/>
  <c r="BA305" i="9"/>
  <c r="BB305" i="9"/>
  <c r="BC305" i="9"/>
  <c r="BD305" i="9"/>
  <c r="BF305" i="9"/>
  <c r="BG305" i="9"/>
  <c r="BH305" i="9"/>
  <c r="BI305" i="9"/>
  <c r="BJ305" i="9"/>
  <c r="BK305" i="9"/>
  <c r="BL305" i="9"/>
  <c r="BN305" i="9"/>
  <c r="BO305" i="9"/>
  <c r="BP305" i="9"/>
  <c r="BQ305" i="9"/>
  <c r="BR305" i="9"/>
  <c r="BS305" i="9"/>
  <c r="BT305" i="9"/>
  <c r="BV305" i="9"/>
  <c r="BW305" i="9"/>
  <c r="BX305" i="9"/>
  <c r="BY305" i="9"/>
  <c r="BZ305" i="9"/>
  <c r="CA305" i="9"/>
  <c r="CB305" i="9"/>
  <c r="CD305" i="9"/>
  <c r="CE305" i="9"/>
  <c r="CF305" i="9"/>
  <c r="CG305" i="9"/>
  <c r="CH305" i="9"/>
  <c r="CI305" i="9"/>
  <c r="CJ305" i="9"/>
  <c r="CL305" i="9"/>
  <c r="CM305" i="9"/>
  <c r="CN305" i="9"/>
  <c r="CO305" i="9"/>
  <c r="CP305" i="9"/>
  <c r="CQ305" i="9"/>
  <c r="CR305" i="9"/>
  <c r="CT305" i="9"/>
  <c r="CU305" i="9"/>
  <c r="CV305" i="9"/>
  <c r="CW305" i="9"/>
  <c r="CX305" i="9"/>
  <c r="CY305" i="9"/>
  <c r="CZ305" i="9"/>
  <c r="DB305" i="9"/>
  <c r="DC305" i="9"/>
  <c r="DD305" i="9"/>
  <c r="DE305" i="9"/>
  <c r="DF305" i="9"/>
  <c r="DG305" i="9"/>
  <c r="DH305" i="9"/>
  <c r="DJ305" i="9"/>
  <c r="DK305" i="9"/>
  <c r="DL305" i="9"/>
  <c r="DM305" i="9"/>
  <c r="DN305" i="9"/>
  <c r="DO305" i="9"/>
  <c r="DP305" i="9"/>
  <c r="DR305" i="9"/>
  <c r="DS305" i="9"/>
  <c r="DT305" i="9"/>
  <c r="DU305" i="9"/>
  <c r="DV305" i="9"/>
  <c r="DW305" i="9"/>
  <c r="DX305" i="9"/>
  <c r="DZ305" i="9"/>
  <c r="EA305" i="9"/>
  <c r="EB305" i="9"/>
  <c r="EC305" i="9"/>
  <c r="ED305" i="9"/>
  <c r="EE305" i="9"/>
  <c r="EF305" i="9"/>
  <c r="EH305" i="9"/>
  <c r="EI305" i="9"/>
  <c r="EJ305" i="9"/>
  <c r="EK305" i="9"/>
  <c r="EL305" i="9"/>
  <c r="EM305" i="9"/>
  <c r="EN305" i="9"/>
  <c r="EP305" i="9"/>
  <c r="EQ305" i="9"/>
  <c r="ER305" i="9"/>
  <c r="ES305" i="9"/>
  <c r="ET305" i="9"/>
  <c r="EU305" i="9"/>
  <c r="EV305" i="9"/>
  <c r="EX305" i="9"/>
  <c r="EY305" i="9"/>
  <c r="EZ305" i="9"/>
  <c r="FA305" i="9"/>
  <c r="FB305" i="9"/>
  <c r="FC305" i="9"/>
  <c r="FD305" i="9"/>
  <c r="FF305" i="9"/>
  <c r="FG305" i="9"/>
  <c r="FH305" i="9"/>
  <c r="FI305" i="9"/>
  <c r="FJ305" i="9"/>
  <c r="FK305" i="9"/>
  <c r="FL305" i="9"/>
  <c r="FN305" i="9"/>
  <c r="FO305" i="9"/>
  <c r="FP305" i="9"/>
  <c r="FQ305" i="9"/>
  <c r="FR305" i="9"/>
  <c r="FS305" i="9"/>
  <c r="FT305" i="9"/>
  <c r="FV305" i="9"/>
  <c r="FW305" i="9"/>
  <c r="FX305" i="9"/>
  <c r="FY305" i="9"/>
  <c r="FZ305" i="9"/>
  <c r="GA305" i="9"/>
  <c r="GB305" i="9"/>
  <c r="GD305" i="9"/>
  <c r="GE305" i="9"/>
  <c r="GF305" i="9"/>
  <c r="GG305" i="9"/>
  <c r="GH305" i="9"/>
  <c r="GI305" i="9"/>
  <c r="GJ305" i="9"/>
  <c r="GL305" i="9"/>
  <c r="GM305" i="9"/>
  <c r="GN305" i="9"/>
  <c r="GO305" i="9"/>
  <c r="GP305" i="9"/>
  <c r="GQ305" i="9"/>
  <c r="GR305" i="9"/>
  <c r="GT305" i="9"/>
  <c r="GU305" i="9"/>
  <c r="GV305" i="9"/>
  <c r="GW305" i="9"/>
  <c r="GX305" i="9"/>
  <c r="GY305" i="9"/>
  <c r="GZ305" i="9"/>
  <c r="HB305" i="9"/>
  <c r="HC305" i="9"/>
  <c r="HD305" i="9"/>
  <c r="HE305" i="9"/>
  <c r="HF305" i="9"/>
  <c r="HG305" i="9"/>
  <c r="HH305" i="9"/>
  <c r="HJ305" i="9"/>
  <c r="HK305" i="9"/>
  <c r="HL305" i="9"/>
  <c r="HM305" i="9"/>
  <c r="HN305" i="9"/>
  <c r="HO305" i="9"/>
  <c r="HP305" i="9"/>
  <c r="HR305" i="9"/>
  <c r="HS305" i="9"/>
  <c r="HT305" i="9"/>
  <c r="HU305" i="9"/>
  <c r="HV305" i="9"/>
  <c r="HW305" i="9"/>
  <c r="HX305" i="9"/>
  <c r="HZ305" i="9"/>
  <c r="IA305" i="9"/>
  <c r="IB305" i="9"/>
  <c r="IC305" i="9"/>
  <c r="ID305" i="9"/>
  <c r="IE305" i="9"/>
  <c r="IF305" i="9"/>
  <c r="IH305" i="9"/>
  <c r="II305" i="9"/>
  <c r="IJ305" i="9"/>
  <c r="IK305" i="9"/>
  <c r="IL305" i="9"/>
  <c r="IM305" i="9"/>
  <c r="IN305" i="9"/>
  <c r="IP305" i="9"/>
  <c r="IQ305" i="9"/>
  <c r="IR305" i="9"/>
  <c r="IS305" i="9"/>
  <c r="IT305" i="9"/>
  <c r="IU305" i="9"/>
  <c r="IV305" i="9"/>
  <c r="C306" i="9"/>
  <c r="D306" i="9"/>
  <c r="E306" i="9"/>
  <c r="G306" i="9"/>
  <c r="H306" i="9"/>
  <c r="J306" i="9"/>
  <c r="K306" i="9"/>
  <c r="L306" i="9"/>
  <c r="M306" i="9"/>
  <c r="N306" i="9"/>
  <c r="O306" i="9"/>
  <c r="P306" i="9"/>
  <c r="R306" i="9"/>
  <c r="S306" i="9"/>
  <c r="T306" i="9"/>
  <c r="U306" i="9"/>
  <c r="V306" i="9"/>
  <c r="W306" i="9"/>
  <c r="X306" i="9"/>
  <c r="Z306" i="9"/>
  <c r="AA306" i="9"/>
  <c r="AB306" i="9"/>
  <c r="AC306" i="9"/>
  <c r="AD306" i="9"/>
  <c r="AE306" i="9"/>
  <c r="AF306" i="9"/>
  <c r="AH306" i="9"/>
  <c r="AI306" i="9"/>
  <c r="AJ306" i="9"/>
  <c r="AK306" i="9"/>
  <c r="AL306" i="9"/>
  <c r="AM306" i="9"/>
  <c r="AN306" i="9"/>
  <c r="AP306" i="9"/>
  <c r="AQ306" i="9"/>
  <c r="AR306" i="9"/>
  <c r="AS306" i="9"/>
  <c r="AT306" i="9"/>
  <c r="AU306" i="9"/>
  <c r="AV306" i="9"/>
  <c r="AX306" i="9"/>
  <c r="AY306" i="9"/>
  <c r="AZ306" i="9"/>
  <c r="BA306" i="9"/>
  <c r="BB306" i="9"/>
  <c r="BC306" i="9"/>
  <c r="BD306" i="9"/>
  <c r="BF306" i="9"/>
  <c r="BG306" i="9"/>
  <c r="BH306" i="9"/>
  <c r="BI306" i="9"/>
  <c r="BJ306" i="9"/>
  <c r="BK306" i="9"/>
  <c r="BL306" i="9"/>
  <c r="BN306" i="9"/>
  <c r="BO306" i="9"/>
  <c r="BP306" i="9"/>
  <c r="BQ306" i="9"/>
  <c r="BR306" i="9"/>
  <c r="BS306" i="9"/>
  <c r="BT306" i="9"/>
  <c r="BV306" i="9"/>
  <c r="BW306" i="9"/>
  <c r="BX306" i="9"/>
  <c r="BY306" i="9"/>
  <c r="BZ306" i="9"/>
  <c r="CA306" i="9"/>
  <c r="CB306" i="9"/>
  <c r="CD306" i="9"/>
  <c r="CE306" i="9"/>
  <c r="CF306" i="9"/>
  <c r="CG306" i="9"/>
  <c r="CH306" i="9"/>
  <c r="CI306" i="9"/>
  <c r="CJ306" i="9"/>
  <c r="CL306" i="9"/>
  <c r="CM306" i="9"/>
  <c r="CN306" i="9"/>
  <c r="CO306" i="9"/>
  <c r="CP306" i="9"/>
  <c r="CQ306" i="9"/>
  <c r="CR306" i="9"/>
  <c r="CT306" i="9"/>
  <c r="CU306" i="9"/>
  <c r="CV306" i="9"/>
  <c r="CW306" i="9"/>
  <c r="CX306" i="9"/>
  <c r="CY306" i="9"/>
  <c r="CZ306" i="9"/>
  <c r="DB306" i="9"/>
  <c r="DC306" i="9"/>
  <c r="DD306" i="9"/>
  <c r="DE306" i="9"/>
  <c r="DF306" i="9"/>
  <c r="DG306" i="9"/>
  <c r="DH306" i="9"/>
  <c r="DJ306" i="9"/>
  <c r="DK306" i="9"/>
  <c r="DL306" i="9"/>
  <c r="DM306" i="9"/>
  <c r="DN306" i="9"/>
  <c r="DO306" i="9"/>
  <c r="DP306" i="9"/>
  <c r="DR306" i="9"/>
  <c r="DS306" i="9"/>
  <c r="DT306" i="9"/>
  <c r="DU306" i="9"/>
  <c r="DV306" i="9"/>
  <c r="DW306" i="9"/>
  <c r="DX306" i="9"/>
  <c r="DZ306" i="9"/>
  <c r="EA306" i="9"/>
  <c r="EB306" i="9"/>
  <c r="EC306" i="9"/>
  <c r="ED306" i="9"/>
  <c r="EE306" i="9"/>
  <c r="EF306" i="9"/>
  <c r="EH306" i="9"/>
  <c r="EI306" i="9"/>
  <c r="EJ306" i="9"/>
  <c r="EK306" i="9"/>
  <c r="EL306" i="9"/>
  <c r="EM306" i="9"/>
  <c r="EN306" i="9"/>
  <c r="EP306" i="9"/>
  <c r="EQ306" i="9"/>
  <c r="ER306" i="9"/>
  <c r="ES306" i="9"/>
  <c r="ET306" i="9"/>
  <c r="EU306" i="9"/>
  <c r="EV306" i="9"/>
  <c r="EX306" i="9"/>
  <c r="EY306" i="9"/>
  <c r="EZ306" i="9"/>
  <c r="FA306" i="9"/>
  <c r="FB306" i="9"/>
  <c r="FC306" i="9"/>
  <c r="FD306" i="9"/>
  <c r="FF306" i="9"/>
  <c r="FG306" i="9"/>
  <c r="FH306" i="9"/>
  <c r="FI306" i="9"/>
  <c r="FJ306" i="9"/>
  <c r="FK306" i="9"/>
  <c r="FL306" i="9"/>
  <c r="FN306" i="9"/>
  <c r="FO306" i="9"/>
  <c r="FP306" i="9"/>
  <c r="FQ306" i="9"/>
  <c r="FR306" i="9"/>
  <c r="FS306" i="9"/>
  <c r="FT306" i="9"/>
  <c r="FV306" i="9"/>
  <c r="FW306" i="9"/>
  <c r="FX306" i="9"/>
  <c r="FY306" i="9"/>
  <c r="FZ306" i="9"/>
  <c r="GA306" i="9"/>
  <c r="GB306" i="9"/>
  <c r="GD306" i="9"/>
  <c r="GE306" i="9"/>
  <c r="GF306" i="9"/>
  <c r="GG306" i="9"/>
  <c r="GH306" i="9"/>
  <c r="GI306" i="9"/>
  <c r="GJ306" i="9"/>
  <c r="GL306" i="9"/>
  <c r="GM306" i="9"/>
  <c r="GN306" i="9"/>
  <c r="GO306" i="9"/>
  <c r="GP306" i="9"/>
  <c r="GQ306" i="9"/>
  <c r="GR306" i="9"/>
  <c r="GT306" i="9"/>
  <c r="GU306" i="9"/>
  <c r="GV306" i="9"/>
  <c r="GW306" i="9"/>
  <c r="GX306" i="9"/>
  <c r="GY306" i="9"/>
  <c r="GZ306" i="9"/>
  <c r="HB306" i="9"/>
  <c r="HC306" i="9"/>
  <c r="HD306" i="9"/>
  <c r="HE306" i="9"/>
  <c r="HF306" i="9"/>
  <c r="HG306" i="9"/>
  <c r="HH306" i="9"/>
  <c r="HJ306" i="9"/>
  <c r="HK306" i="9"/>
  <c r="HL306" i="9"/>
  <c r="HM306" i="9"/>
  <c r="HN306" i="9"/>
  <c r="HO306" i="9"/>
  <c r="HP306" i="9"/>
  <c r="HR306" i="9"/>
  <c r="HS306" i="9"/>
  <c r="HT306" i="9"/>
  <c r="HU306" i="9"/>
  <c r="HV306" i="9"/>
  <c r="HW306" i="9"/>
  <c r="HX306" i="9"/>
  <c r="HZ306" i="9"/>
  <c r="IA306" i="9"/>
  <c r="IB306" i="9"/>
  <c r="IC306" i="9"/>
  <c r="ID306" i="9"/>
  <c r="IE306" i="9"/>
  <c r="IF306" i="9"/>
  <c r="IH306" i="9"/>
  <c r="II306" i="9"/>
  <c r="IJ306" i="9"/>
  <c r="IK306" i="9"/>
  <c r="IL306" i="9"/>
  <c r="IM306" i="9"/>
  <c r="IN306" i="9"/>
  <c r="IP306" i="9"/>
  <c r="IQ306" i="9"/>
  <c r="IR306" i="9"/>
  <c r="IS306" i="9"/>
  <c r="IT306" i="9"/>
  <c r="IU306" i="9"/>
  <c r="IV306" i="9"/>
  <c r="E1" i="40"/>
  <c r="B4" i="40"/>
  <c r="E4" i="40"/>
  <c r="D12" i="41"/>
  <c r="E12" i="41"/>
  <c r="B19" i="41"/>
  <c r="D3" i="42"/>
  <c r="D31" i="42" s="1"/>
  <c r="D8" i="42"/>
  <c r="G15" i="7" s="1"/>
  <c r="E8" i="42"/>
  <c r="I15" i="7" s="1"/>
  <c r="D21" i="42"/>
  <c r="G10" i="7" s="1"/>
  <c r="G107" i="7" s="1"/>
  <c r="E21" i="42"/>
  <c r="I10" i="7" s="1"/>
  <c r="E28" i="42"/>
  <c r="I13" i="7" s="1"/>
  <c r="I110" i="7" s="1"/>
  <c r="D34" i="42"/>
  <c r="D36" i="42" s="1"/>
  <c r="G23" i="7" s="1"/>
  <c r="E34" i="42"/>
  <c r="E36" i="42" s="1"/>
  <c r="I23" i="7" s="1"/>
  <c r="I120" i="7" s="1"/>
  <c r="C6" i="44"/>
  <c r="C42" i="44" s="1"/>
  <c r="D6" i="44"/>
  <c r="C16" i="44"/>
  <c r="I193" i="38" s="1"/>
  <c r="D16" i="44"/>
  <c r="I194" i="38" s="1"/>
  <c r="E16" i="44"/>
  <c r="I195" i="38" s="1"/>
  <c r="C27" i="44"/>
  <c r="D22" i="26" s="1"/>
  <c r="C29" i="33" s="1"/>
  <c r="C235" i="33" s="1"/>
  <c r="D27" i="44"/>
  <c r="F22" i="26" s="1"/>
  <c r="E27" i="44"/>
  <c r="N22" i="26" s="1"/>
  <c r="C39" i="44"/>
  <c r="E11" i="27" s="1"/>
  <c r="D39" i="44"/>
  <c r="G11" i="27" s="1"/>
  <c r="G206" i="27" s="1"/>
  <c r="E39" i="44"/>
  <c r="O11" i="27" s="1"/>
  <c r="O206" i="27" s="1"/>
  <c r="C47" i="44"/>
  <c r="E9" i="27" s="1"/>
  <c r="D47" i="44"/>
  <c r="G9" i="27" s="1"/>
  <c r="D42" i="33" s="1"/>
  <c r="E47" i="44"/>
  <c r="O9" i="27" s="1"/>
  <c r="C56" i="44"/>
  <c r="E12" i="27" s="1"/>
  <c r="D56" i="44"/>
  <c r="G12" i="27" s="1"/>
  <c r="E212" i="38" s="1"/>
  <c r="E56" i="44"/>
  <c r="O12" i="27" s="1"/>
  <c r="F45" i="33" s="1"/>
  <c r="C63" i="44"/>
  <c r="E13" i="27" s="1"/>
  <c r="D63" i="44"/>
  <c r="G13" i="27" s="1"/>
  <c r="G208" i="27" s="1"/>
  <c r="E63" i="44"/>
  <c r="O13" i="27" s="1"/>
  <c r="C70" i="44"/>
  <c r="C72" i="44" s="1"/>
  <c r="D70" i="44"/>
  <c r="C32" i="25" s="1"/>
  <c r="I87" i="38" s="1"/>
  <c r="E70" i="44"/>
  <c r="C82" i="44"/>
  <c r="N43" i="6" s="1"/>
  <c r="D82" i="44"/>
  <c r="P43" i="6" s="1"/>
  <c r="E62" i="36" s="1"/>
  <c r="E82" i="44"/>
  <c r="R43" i="6" s="1"/>
  <c r="F61" i="35" s="1"/>
  <c r="D12" i="43"/>
  <c r="I122" i="38" s="1"/>
  <c r="E12" i="43"/>
  <c r="I123" i="38" s="1"/>
  <c r="D17" i="43"/>
  <c r="D24" i="43"/>
  <c r="D26" i="43"/>
  <c r="E26" i="43"/>
  <c r="D27" i="43"/>
  <c r="E27" i="43"/>
  <c r="E1" i="45"/>
  <c r="B4" i="45"/>
  <c r="C4" i="45"/>
  <c r="D4" i="45"/>
  <c r="E4" i="45"/>
  <c r="F4" i="45"/>
  <c r="G4" i="45"/>
  <c r="B8" i="45"/>
  <c r="C12" i="29" s="1"/>
  <c r="C208" i="29" s="1"/>
  <c r="C8" i="45"/>
  <c r="E12" i="29" s="1"/>
  <c r="D8" i="45"/>
  <c r="E8" i="45"/>
  <c r="E31" i="51" s="1"/>
  <c r="E32" i="51" s="1"/>
  <c r="F8" i="45"/>
  <c r="G31" i="51" s="1"/>
  <c r="G8" i="45"/>
  <c r="I12" i="29" s="1"/>
  <c r="H8" i="45"/>
  <c r="I8" i="45"/>
  <c r="M12" i="29" s="1"/>
  <c r="N100" i="33" s="1"/>
  <c r="J8" i="45"/>
  <c r="K8" i="45"/>
  <c r="M31" i="51" s="1"/>
  <c r="L8" i="45"/>
  <c r="O12" i="29" s="1"/>
  <c r="O208" i="29" s="1"/>
  <c r="B11" i="45"/>
  <c r="C15" i="29" s="1"/>
  <c r="C211" i="29" s="1"/>
  <c r="C11" i="45"/>
  <c r="D11" i="45"/>
  <c r="G15" i="29" s="1"/>
  <c r="E276" i="38" s="1"/>
  <c r="E11" i="45"/>
  <c r="E33" i="51" s="1"/>
  <c r="E254" i="51" s="1"/>
  <c r="F11" i="45"/>
  <c r="G33" i="51" s="1"/>
  <c r="E234" i="38" s="1"/>
  <c r="G11" i="45"/>
  <c r="I15" i="29" s="1"/>
  <c r="D101" i="33" s="1"/>
  <c r="D306" i="33" s="1"/>
  <c r="H11" i="45"/>
  <c r="I11" i="45"/>
  <c r="M15" i="29" s="1"/>
  <c r="J11" i="45"/>
  <c r="K11" i="45"/>
  <c r="L11" i="45"/>
  <c r="O15" i="29" s="1"/>
  <c r="E101" i="33" s="1"/>
  <c r="E306" i="33" s="1"/>
  <c r="B14" i="45"/>
  <c r="C18" i="29" s="1"/>
  <c r="C214" i="29" s="1"/>
  <c r="C14" i="45"/>
  <c r="E18" i="29" s="1"/>
  <c r="E214" i="29" s="1"/>
  <c r="D14" i="45"/>
  <c r="G18" i="29" s="1"/>
  <c r="K18" i="29" s="1"/>
  <c r="E14" i="45"/>
  <c r="F14" i="45"/>
  <c r="G14" i="45"/>
  <c r="I18" i="29" s="1"/>
  <c r="H14" i="45"/>
  <c r="I14" i="45"/>
  <c r="M18" i="29" s="1"/>
  <c r="M214" i="29" s="1"/>
  <c r="J14" i="45"/>
  <c r="K14" i="45"/>
  <c r="L14" i="45"/>
  <c r="O18" i="29" s="1"/>
  <c r="O214" i="29" s="1"/>
  <c r="B17" i="45"/>
  <c r="C21" i="29" s="1"/>
  <c r="C217" i="29" s="1"/>
  <c r="C17" i="45"/>
  <c r="E21" i="29" s="1"/>
  <c r="E217" i="29" s="1"/>
  <c r="D17" i="45"/>
  <c r="G21" i="29" s="1"/>
  <c r="G217" i="29" s="1"/>
  <c r="E17" i="45"/>
  <c r="F17" i="45"/>
  <c r="G17" i="45"/>
  <c r="I21" i="29" s="1"/>
  <c r="I217" i="29" s="1"/>
  <c r="H17" i="45"/>
  <c r="I17" i="45"/>
  <c r="M21" i="29" s="1"/>
  <c r="J17" i="45"/>
  <c r="K17" i="45"/>
  <c r="L17" i="45"/>
  <c r="O21" i="29" s="1"/>
  <c r="O217" i="29" s="1"/>
  <c r="B22" i="45"/>
  <c r="C26" i="29" s="1"/>
  <c r="C222" i="29" s="1"/>
  <c r="C22" i="45"/>
  <c r="E26" i="29" s="1"/>
  <c r="E222" i="29" s="1"/>
  <c r="D22" i="45"/>
  <c r="G26" i="29" s="1"/>
  <c r="E22" i="45"/>
  <c r="F22" i="45"/>
  <c r="G22" i="45"/>
  <c r="I26" i="29" s="1"/>
  <c r="I222" i="29" s="1"/>
  <c r="H22" i="45"/>
  <c r="I22" i="45"/>
  <c r="M26" i="29" s="1"/>
  <c r="J22" i="45"/>
  <c r="K22" i="45"/>
  <c r="L22" i="45"/>
  <c r="O26" i="29" s="1"/>
  <c r="O222" i="29" s="1"/>
  <c r="D29" i="39"/>
  <c r="D1" i="33"/>
  <c r="A204" i="33" s="1"/>
  <c r="D2" i="33"/>
  <c r="C64" i="33" s="1"/>
  <c r="C269" i="33" s="1"/>
  <c r="C5" i="33"/>
  <c r="C211" i="33" s="1"/>
  <c r="F5" i="33"/>
  <c r="F211" i="33" s="1"/>
  <c r="I5" i="33"/>
  <c r="I211" i="33" s="1"/>
  <c r="C9" i="33"/>
  <c r="C215" i="33" s="1"/>
  <c r="H9" i="33"/>
  <c r="H215" i="33" s="1"/>
  <c r="C16" i="33"/>
  <c r="C222" i="33" s="1"/>
  <c r="D16" i="33"/>
  <c r="D222" i="33" s="1"/>
  <c r="C27" i="33"/>
  <c r="C233" i="33" s="1"/>
  <c r="D27" i="33"/>
  <c r="D233" i="33" s="1"/>
  <c r="C30" i="33"/>
  <c r="C236" i="33" s="1"/>
  <c r="F30" i="33"/>
  <c r="F236" i="33" s="1"/>
  <c r="C32" i="33"/>
  <c r="C238" i="33" s="1"/>
  <c r="C33" i="33"/>
  <c r="C239" i="33" s="1"/>
  <c r="D33" i="33"/>
  <c r="D239" i="33" s="1"/>
  <c r="F33" i="33"/>
  <c r="F239" i="33" s="1"/>
  <c r="B34" i="33"/>
  <c r="C34" i="33"/>
  <c r="C240" i="33" s="1"/>
  <c r="D34" i="33"/>
  <c r="D240" i="33" s="1"/>
  <c r="F34" i="33"/>
  <c r="F240" i="33" s="1"/>
  <c r="C40" i="33"/>
  <c r="C246" i="33" s="1"/>
  <c r="D40" i="33"/>
  <c r="D246" i="33" s="1"/>
  <c r="B49" i="33"/>
  <c r="C49" i="33"/>
  <c r="C255" i="33" s="1"/>
  <c r="D49" i="33"/>
  <c r="D255" i="33" s="1"/>
  <c r="F49" i="33"/>
  <c r="F56" i="33"/>
  <c r="F262" i="33" s="1"/>
  <c r="C69" i="33"/>
  <c r="C274" i="33" s="1"/>
  <c r="H69" i="33"/>
  <c r="H274" i="33" s="1"/>
  <c r="D70" i="33"/>
  <c r="D275" i="33" s="1"/>
  <c r="I70" i="33"/>
  <c r="I275" i="33" s="1"/>
  <c r="C72" i="33"/>
  <c r="C277" i="33" s="1"/>
  <c r="D72" i="33"/>
  <c r="I72" i="33"/>
  <c r="I277" i="33" s="1"/>
  <c r="C79" i="33"/>
  <c r="C284" i="33" s="1"/>
  <c r="H79" i="33"/>
  <c r="H284" i="33" s="1"/>
  <c r="D80" i="33"/>
  <c r="I80" i="33"/>
  <c r="I285" i="33" s="1"/>
  <c r="D81" i="33"/>
  <c r="I81" i="33"/>
  <c r="C82" i="33"/>
  <c r="D82" i="33"/>
  <c r="D287" i="33" s="1"/>
  <c r="H82" i="33"/>
  <c r="I82" i="33"/>
  <c r="I287" i="33" s="1"/>
  <c r="C83" i="33"/>
  <c r="D83" i="33"/>
  <c r="H83" i="33"/>
  <c r="H288" i="33" s="1"/>
  <c r="I83" i="33"/>
  <c r="I288" i="33" s="1"/>
  <c r="M92" i="33"/>
  <c r="M93" i="33"/>
  <c r="O93" i="33"/>
  <c r="C99" i="33"/>
  <c r="C304" i="33" s="1"/>
  <c r="D99" i="33"/>
  <c r="D304" i="33" s="1"/>
  <c r="F99" i="33"/>
  <c r="F304" i="33" s="1"/>
  <c r="D104" i="33"/>
  <c r="D309" i="33" s="1"/>
  <c r="B114" i="33"/>
  <c r="B319" i="33" s="1"/>
  <c r="B115" i="33"/>
  <c r="B320" i="33" s="1"/>
  <c r="B116" i="33"/>
  <c r="B321" i="33" s="1"/>
  <c r="A206" i="33"/>
  <c r="A211" i="33"/>
  <c r="B211" i="33"/>
  <c r="D211" i="33"/>
  <c r="G211" i="33"/>
  <c r="A212" i="33"/>
  <c r="B212" i="33"/>
  <c r="C212" i="33"/>
  <c r="D212" i="33"/>
  <c r="E212" i="33"/>
  <c r="F212" i="33"/>
  <c r="G212" i="33"/>
  <c r="H212" i="33"/>
  <c r="I212" i="33"/>
  <c r="A213" i="33"/>
  <c r="B213" i="33"/>
  <c r="C213" i="33"/>
  <c r="D213" i="33"/>
  <c r="E213" i="33"/>
  <c r="F213" i="33"/>
  <c r="G213" i="33"/>
  <c r="H213" i="33"/>
  <c r="I213" i="33"/>
  <c r="A214" i="33"/>
  <c r="B214" i="33"/>
  <c r="C214" i="33"/>
  <c r="D214" i="33"/>
  <c r="E214" i="33"/>
  <c r="F214" i="33"/>
  <c r="G214" i="33"/>
  <c r="H214" i="33"/>
  <c r="I214" i="33"/>
  <c r="A215" i="33"/>
  <c r="B215" i="33"/>
  <c r="E215" i="33"/>
  <c r="F215" i="33"/>
  <c r="G215" i="33"/>
  <c r="A216" i="33"/>
  <c r="E216" i="33"/>
  <c r="A217" i="33"/>
  <c r="E217" i="33"/>
  <c r="A218" i="33"/>
  <c r="C218" i="33"/>
  <c r="D218" i="33"/>
  <c r="E218" i="33"/>
  <c r="A219" i="33"/>
  <c r="E219" i="33"/>
  <c r="A220" i="33"/>
  <c r="C220" i="33"/>
  <c r="D220" i="33"/>
  <c r="E220" i="33"/>
  <c r="A221" i="33"/>
  <c r="E221" i="33"/>
  <c r="F221" i="33"/>
  <c r="G221" i="33"/>
  <c r="H221" i="33"/>
  <c r="I221" i="33"/>
  <c r="A222" i="33"/>
  <c r="E222" i="33"/>
  <c r="F222" i="33"/>
  <c r="G222" i="33"/>
  <c r="H222" i="33"/>
  <c r="I222" i="33"/>
  <c r="A223" i="33"/>
  <c r="C223" i="33"/>
  <c r="D223" i="33"/>
  <c r="E223" i="33"/>
  <c r="F223" i="33"/>
  <c r="G223" i="33"/>
  <c r="H223" i="33"/>
  <c r="I223" i="33"/>
  <c r="A224" i="33"/>
  <c r="E224" i="33"/>
  <c r="A225" i="33"/>
  <c r="B225" i="33"/>
  <c r="C225" i="33"/>
  <c r="D225" i="33"/>
  <c r="E225" i="33"/>
  <c r="F225" i="33"/>
  <c r="G225" i="33"/>
  <c r="H225" i="33"/>
  <c r="I225" i="33"/>
  <c r="A226" i="33"/>
  <c r="B226" i="33"/>
  <c r="E226" i="33"/>
  <c r="F226" i="33"/>
  <c r="G226" i="33"/>
  <c r="A227" i="33"/>
  <c r="B227" i="33"/>
  <c r="C227" i="33"/>
  <c r="D227" i="33"/>
  <c r="E227" i="33"/>
  <c r="F227" i="33"/>
  <c r="G227" i="33"/>
  <c r="H227" i="33"/>
  <c r="I227" i="33"/>
  <c r="A228" i="33"/>
  <c r="B228" i="33"/>
  <c r="C228" i="33"/>
  <c r="D228" i="33"/>
  <c r="E228" i="33"/>
  <c r="F228" i="33"/>
  <c r="G228" i="33"/>
  <c r="H228" i="33"/>
  <c r="I228" i="33"/>
  <c r="A229" i="33"/>
  <c r="B229" i="33"/>
  <c r="C229" i="33"/>
  <c r="D229" i="33"/>
  <c r="E229" i="33"/>
  <c r="F229" i="33"/>
  <c r="G229" i="33"/>
  <c r="H229" i="33"/>
  <c r="I229" i="33"/>
  <c r="A230" i="33"/>
  <c r="B230" i="33"/>
  <c r="C230" i="33"/>
  <c r="D230" i="33"/>
  <c r="E230" i="33"/>
  <c r="F230" i="33"/>
  <c r="G230" i="33"/>
  <c r="H230" i="33"/>
  <c r="I230" i="33"/>
  <c r="A231" i="33"/>
  <c r="B231" i="33"/>
  <c r="C231" i="33"/>
  <c r="D231" i="33"/>
  <c r="E231" i="33"/>
  <c r="F231" i="33"/>
  <c r="G231" i="33"/>
  <c r="H231" i="33"/>
  <c r="I231" i="33"/>
  <c r="A232" i="33"/>
  <c r="B232" i="33"/>
  <c r="C232" i="33"/>
  <c r="D232" i="33"/>
  <c r="E232" i="33"/>
  <c r="F232" i="33"/>
  <c r="G232" i="33"/>
  <c r="H232" i="33"/>
  <c r="I232" i="33"/>
  <c r="A233" i="33"/>
  <c r="B233" i="33"/>
  <c r="E233" i="33"/>
  <c r="G233" i="33"/>
  <c r="H233" i="33"/>
  <c r="I233" i="33"/>
  <c r="A234" i="33"/>
  <c r="H234" i="33"/>
  <c r="I234" i="33"/>
  <c r="A235" i="33"/>
  <c r="H235" i="33"/>
  <c r="I235" i="33"/>
  <c r="A236" i="33"/>
  <c r="D236" i="33"/>
  <c r="H236" i="33"/>
  <c r="I236" i="33"/>
  <c r="A237" i="33"/>
  <c r="H237" i="33"/>
  <c r="I237" i="33"/>
  <c r="A238" i="33"/>
  <c r="H238" i="33"/>
  <c r="I238" i="33"/>
  <c r="A239" i="33"/>
  <c r="H239" i="33"/>
  <c r="I239" i="33"/>
  <c r="A240" i="33"/>
  <c r="H240" i="33"/>
  <c r="I240" i="33"/>
  <c r="A241" i="33"/>
  <c r="B241" i="33"/>
  <c r="H241" i="33"/>
  <c r="I241" i="33"/>
  <c r="A242" i="33"/>
  <c r="B242" i="33"/>
  <c r="C242" i="33"/>
  <c r="D242" i="33"/>
  <c r="E242" i="33"/>
  <c r="F242" i="33"/>
  <c r="G242" i="33"/>
  <c r="H242" i="33"/>
  <c r="I242" i="33"/>
  <c r="A243" i="33"/>
  <c r="B243" i="33"/>
  <c r="C243" i="33"/>
  <c r="D243" i="33"/>
  <c r="E243" i="33"/>
  <c r="F243" i="33"/>
  <c r="G243" i="33"/>
  <c r="H243" i="33"/>
  <c r="I243" i="33"/>
  <c r="A244" i="33"/>
  <c r="B244" i="33"/>
  <c r="C244" i="33"/>
  <c r="D244" i="33"/>
  <c r="E244" i="33"/>
  <c r="F244" i="33"/>
  <c r="G244" i="33"/>
  <c r="H244" i="33"/>
  <c r="I244" i="33"/>
  <c r="A245" i="33"/>
  <c r="B245" i="33"/>
  <c r="C245" i="33"/>
  <c r="D245" i="33"/>
  <c r="E245" i="33"/>
  <c r="F245" i="33"/>
  <c r="G245" i="33"/>
  <c r="H245" i="33"/>
  <c r="I245" i="33"/>
  <c r="A246" i="33"/>
  <c r="B246" i="33"/>
  <c r="E246" i="33"/>
  <c r="G246" i="33"/>
  <c r="H246" i="33"/>
  <c r="I246" i="33"/>
  <c r="A247" i="33"/>
  <c r="H247" i="33"/>
  <c r="I247" i="33"/>
  <c r="A248" i="33"/>
  <c r="H248" i="33"/>
  <c r="I248" i="33"/>
  <c r="A249" i="33"/>
  <c r="H249" i="33"/>
  <c r="I249" i="33"/>
  <c r="A250" i="33"/>
  <c r="H250" i="33"/>
  <c r="I250" i="33"/>
  <c r="A251" i="33"/>
  <c r="H251" i="33"/>
  <c r="I251" i="33"/>
  <c r="A252" i="33"/>
  <c r="H252" i="33"/>
  <c r="I252" i="33"/>
  <c r="A253" i="33"/>
  <c r="H253" i="33"/>
  <c r="I253" i="33"/>
  <c r="A254" i="33"/>
  <c r="H254" i="33"/>
  <c r="I254" i="33"/>
  <c r="A255" i="33"/>
  <c r="H255" i="33"/>
  <c r="I255" i="33"/>
  <c r="A256" i="33"/>
  <c r="B256" i="33"/>
  <c r="H256" i="33"/>
  <c r="I256" i="33"/>
  <c r="A257" i="33"/>
  <c r="B257" i="33"/>
  <c r="C257" i="33"/>
  <c r="D257" i="33"/>
  <c r="E257" i="33"/>
  <c r="F257" i="33"/>
  <c r="G257" i="33"/>
  <c r="H257" i="33"/>
  <c r="I257" i="33"/>
  <c r="A258" i="33"/>
  <c r="E258" i="33"/>
  <c r="G258" i="33"/>
  <c r="H258" i="33"/>
  <c r="I258" i="33"/>
  <c r="A259" i="33"/>
  <c r="B259" i="33"/>
  <c r="C259" i="33"/>
  <c r="D259" i="33"/>
  <c r="E259" i="33"/>
  <c r="F259" i="33"/>
  <c r="G259" i="33"/>
  <c r="H259" i="33"/>
  <c r="I259" i="33"/>
  <c r="A260" i="33"/>
  <c r="B260" i="33"/>
  <c r="C260" i="33"/>
  <c r="D260" i="33"/>
  <c r="E260" i="33"/>
  <c r="F260" i="33"/>
  <c r="G260" i="33"/>
  <c r="H260" i="33"/>
  <c r="I260" i="33"/>
  <c r="A261" i="33"/>
  <c r="B261" i="33"/>
  <c r="C261" i="33"/>
  <c r="D261" i="33"/>
  <c r="E261" i="33"/>
  <c r="F261" i="33"/>
  <c r="G261" i="33"/>
  <c r="H261" i="33"/>
  <c r="I261" i="33"/>
  <c r="A262" i="33"/>
  <c r="B262" i="33"/>
  <c r="C262" i="33"/>
  <c r="D262" i="33"/>
  <c r="E262" i="33"/>
  <c r="H262" i="33"/>
  <c r="I262" i="33"/>
  <c r="A263" i="33"/>
  <c r="D263" i="33"/>
  <c r="E263" i="33"/>
  <c r="H263" i="33"/>
  <c r="I263" i="33"/>
  <c r="A264" i="33"/>
  <c r="B264" i="33"/>
  <c r="C264" i="33"/>
  <c r="D264" i="33"/>
  <c r="E264" i="33"/>
  <c r="F264" i="33"/>
  <c r="G264" i="33"/>
  <c r="H264" i="33"/>
  <c r="I264" i="33"/>
  <c r="A265" i="33"/>
  <c r="B265" i="33"/>
  <c r="C265" i="33"/>
  <c r="D265" i="33"/>
  <c r="E265" i="33"/>
  <c r="F265" i="33"/>
  <c r="G265" i="33"/>
  <c r="H265" i="33"/>
  <c r="I265" i="33"/>
  <c r="A266" i="33"/>
  <c r="B266" i="33"/>
  <c r="C266" i="33"/>
  <c r="D266" i="33"/>
  <c r="E266" i="33"/>
  <c r="F266" i="33"/>
  <c r="G266" i="33"/>
  <c r="H266" i="33"/>
  <c r="I266" i="33"/>
  <c r="A267" i="33"/>
  <c r="B267" i="33"/>
  <c r="C267" i="33"/>
  <c r="D267" i="33"/>
  <c r="E267" i="33"/>
  <c r="F267" i="33"/>
  <c r="G267" i="33"/>
  <c r="H267" i="33"/>
  <c r="I267" i="33"/>
  <c r="A268" i="33"/>
  <c r="B268" i="33"/>
  <c r="H268" i="33"/>
  <c r="I268" i="33"/>
  <c r="A269" i="33"/>
  <c r="B269" i="33"/>
  <c r="H269" i="33"/>
  <c r="I269" i="33"/>
  <c r="A270" i="33"/>
  <c r="B270" i="33"/>
  <c r="C270" i="33"/>
  <c r="H270" i="33"/>
  <c r="I270" i="33"/>
  <c r="A271" i="33"/>
  <c r="B271" i="33"/>
  <c r="C271" i="33"/>
  <c r="D271" i="33"/>
  <c r="E271" i="33"/>
  <c r="F271" i="33"/>
  <c r="G271" i="33"/>
  <c r="H271" i="33"/>
  <c r="I271" i="33"/>
  <c r="A272" i="33"/>
  <c r="B272" i="33"/>
  <c r="C272" i="33"/>
  <c r="D272" i="33"/>
  <c r="E272" i="33"/>
  <c r="F272" i="33"/>
  <c r="G272" i="33"/>
  <c r="H272" i="33"/>
  <c r="I272" i="33"/>
  <c r="A273" i="33"/>
  <c r="B273" i="33"/>
  <c r="C273" i="33"/>
  <c r="D273" i="33"/>
  <c r="E273" i="33"/>
  <c r="F273" i="33"/>
  <c r="G273" i="33"/>
  <c r="H273" i="33"/>
  <c r="I273" i="33"/>
  <c r="A274" i="33"/>
  <c r="B274" i="33"/>
  <c r="E274" i="33"/>
  <c r="F274" i="33"/>
  <c r="G274" i="33"/>
  <c r="A275" i="33"/>
  <c r="E275" i="33"/>
  <c r="A276" i="33"/>
  <c r="E276" i="33"/>
  <c r="A277" i="33"/>
  <c r="E277" i="33"/>
  <c r="A278" i="33"/>
  <c r="E278" i="33"/>
  <c r="A279" i="33"/>
  <c r="B279" i="33"/>
  <c r="C279" i="33"/>
  <c r="D279" i="33"/>
  <c r="E279" i="33"/>
  <c r="F279" i="33"/>
  <c r="G279" i="33"/>
  <c r="H279" i="33"/>
  <c r="I279" i="33"/>
  <c r="A280" i="33"/>
  <c r="E280" i="33"/>
  <c r="A281" i="33"/>
  <c r="B281" i="33"/>
  <c r="C281" i="33"/>
  <c r="D281" i="33"/>
  <c r="E281" i="33"/>
  <c r="F281" i="33"/>
  <c r="G281" i="33"/>
  <c r="H281" i="33"/>
  <c r="I281" i="33"/>
  <c r="A282" i="33"/>
  <c r="B282" i="33"/>
  <c r="C282" i="33"/>
  <c r="D282" i="33"/>
  <c r="E282" i="33"/>
  <c r="F282" i="33"/>
  <c r="G282" i="33"/>
  <c r="H282" i="33"/>
  <c r="I282" i="33"/>
  <c r="A283" i="33"/>
  <c r="B283" i="33"/>
  <c r="C283" i="33"/>
  <c r="D283" i="33"/>
  <c r="E283" i="33"/>
  <c r="F283" i="33"/>
  <c r="H283" i="33"/>
  <c r="I283" i="33"/>
  <c r="A284" i="33"/>
  <c r="B284" i="33"/>
  <c r="E284" i="33"/>
  <c r="F284" i="33"/>
  <c r="G284" i="33"/>
  <c r="A285" i="33"/>
  <c r="A286" i="33"/>
  <c r="A287" i="33"/>
  <c r="A288" i="33"/>
  <c r="A289" i="33"/>
  <c r="A290" i="33"/>
  <c r="A291" i="33"/>
  <c r="B291" i="33"/>
  <c r="C291" i="33"/>
  <c r="D291" i="33"/>
  <c r="F291" i="33"/>
  <c r="G291" i="33"/>
  <c r="H291" i="33"/>
  <c r="I291" i="33"/>
  <c r="A292" i="33"/>
  <c r="A295" i="33"/>
  <c r="B295" i="33"/>
  <c r="C295" i="33"/>
  <c r="D295" i="33"/>
  <c r="F295" i="33"/>
  <c r="G295" i="33"/>
  <c r="H295" i="33"/>
  <c r="I295" i="33"/>
  <c r="A296" i="33"/>
  <c r="B296" i="33"/>
  <c r="C296" i="33"/>
  <c r="D296" i="33"/>
  <c r="F296" i="33"/>
  <c r="H296" i="33"/>
  <c r="I296" i="33"/>
  <c r="A297" i="33"/>
  <c r="A298" i="33"/>
  <c r="A299" i="33"/>
  <c r="A300" i="33"/>
  <c r="B300" i="33"/>
  <c r="C300" i="33"/>
  <c r="D300" i="33"/>
  <c r="E300" i="33"/>
  <c r="F300" i="33"/>
  <c r="G300" i="33"/>
  <c r="H300" i="33"/>
  <c r="I300" i="33"/>
  <c r="A301" i="33"/>
  <c r="B301" i="33"/>
  <c r="C301" i="33"/>
  <c r="D301" i="33"/>
  <c r="E301" i="33"/>
  <c r="F301" i="33"/>
  <c r="G301" i="33"/>
  <c r="H301" i="33"/>
  <c r="I301" i="33"/>
  <c r="A302" i="33"/>
  <c r="B302" i="33"/>
  <c r="C302" i="33"/>
  <c r="E302" i="33"/>
  <c r="F302" i="33"/>
  <c r="H302" i="33"/>
  <c r="I302" i="33"/>
  <c r="A303" i="33"/>
  <c r="B303" i="33"/>
  <c r="C303" i="33"/>
  <c r="D303" i="33"/>
  <c r="F303" i="33"/>
  <c r="H303" i="33"/>
  <c r="I303" i="33"/>
  <c r="A304" i="33"/>
  <c r="B304" i="33"/>
  <c r="H304" i="33"/>
  <c r="I304" i="33"/>
  <c r="A305" i="33"/>
  <c r="H305" i="33"/>
  <c r="I305" i="33"/>
  <c r="A306" i="33"/>
  <c r="H306" i="33"/>
  <c r="I306" i="33"/>
  <c r="A307" i="33"/>
  <c r="H307" i="33"/>
  <c r="I307" i="33"/>
  <c r="A309" i="33"/>
  <c r="H309" i="33"/>
  <c r="I309" i="33"/>
  <c r="A310" i="33"/>
  <c r="H310" i="33"/>
  <c r="I310" i="33"/>
  <c r="A311" i="33"/>
  <c r="B311" i="33"/>
  <c r="C311" i="33"/>
  <c r="D311" i="33"/>
  <c r="E311" i="33"/>
  <c r="F311" i="33"/>
  <c r="G311" i="33"/>
  <c r="H311" i="33"/>
  <c r="I311" i="33"/>
  <c r="A312" i="33"/>
  <c r="B312" i="33"/>
  <c r="H312" i="33"/>
  <c r="I312" i="33"/>
  <c r="A313" i="33"/>
  <c r="B313" i="33"/>
  <c r="C313" i="33"/>
  <c r="D313" i="33"/>
  <c r="E313" i="33"/>
  <c r="F313" i="33"/>
  <c r="G313" i="33"/>
  <c r="H313" i="33"/>
  <c r="I313" i="33"/>
  <c r="A314" i="33"/>
  <c r="H314" i="33"/>
  <c r="I314" i="33"/>
  <c r="A315" i="33"/>
  <c r="B315" i="33"/>
  <c r="H315" i="33"/>
  <c r="I315" i="33"/>
  <c r="A316" i="33"/>
  <c r="B316" i="33"/>
  <c r="C316" i="33"/>
  <c r="D316" i="33"/>
  <c r="E316" i="33"/>
  <c r="F316" i="33"/>
  <c r="G316" i="33"/>
  <c r="H316" i="33"/>
  <c r="I316" i="33"/>
  <c r="A317" i="33"/>
  <c r="G317" i="33"/>
  <c r="H317" i="33"/>
  <c r="I317" i="33"/>
  <c r="A318" i="33"/>
  <c r="B318" i="33"/>
  <c r="F318" i="33"/>
  <c r="G318" i="33"/>
  <c r="H318" i="33"/>
  <c r="I318" i="33"/>
  <c r="A319" i="33"/>
  <c r="D319" i="33"/>
  <c r="E319" i="33"/>
  <c r="F319" i="33"/>
  <c r="G319" i="33"/>
  <c r="H319" i="33"/>
  <c r="I319" i="33"/>
  <c r="A320" i="33"/>
  <c r="G320" i="33"/>
  <c r="H320" i="33"/>
  <c r="I320" i="33"/>
  <c r="E2" i="53"/>
  <c r="A18" i="53" s="1"/>
  <c r="E3" i="53"/>
  <c r="A19" i="53" s="1"/>
  <c r="A17" i="53"/>
  <c r="E1" i="54"/>
  <c r="A6" i="54" s="1"/>
  <c r="E2" i="54"/>
  <c r="A7" i="54" s="1"/>
  <c r="A8" i="54"/>
  <c r="A34" i="54"/>
  <c r="A38" i="54"/>
  <c r="I181" i="38"/>
  <c r="M192" i="25"/>
  <c r="K222" i="23"/>
  <c r="H217" i="23"/>
  <c r="G210" i="29"/>
  <c r="B240" i="29"/>
  <c r="I226" i="29"/>
  <c r="C230" i="22"/>
  <c r="D229" i="22"/>
  <c r="E211" i="25"/>
  <c r="I225" i="29"/>
  <c r="C230" i="24"/>
  <c r="F14" i="21"/>
  <c r="F220" i="21" s="1"/>
  <c r="D237" i="22"/>
  <c r="C233" i="22"/>
  <c r="L39" i="32"/>
  <c r="L233" i="32" s="1"/>
  <c r="D234" i="22" l="1"/>
  <c r="D92" i="33"/>
  <c r="D297" i="33" s="1"/>
  <c r="Q26" i="29"/>
  <c r="Q222" i="29" s="1"/>
  <c r="Q16" i="29"/>
  <c r="Q212" i="29" s="1"/>
  <c r="K233" i="32"/>
  <c r="H48" i="50"/>
  <c r="H245" i="50" s="1"/>
  <c r="Q92" i="33"/>
  <c r="D85" i="33"/>
  <c r="D290" i="33" s="1"/>
  <c r="D93" i="33"/>
  <c r="D298" i="33" s="1"/>
  <c r="F17" i="50"/>
  <c r="F214" i="50" s="1"/>
  <c r="B232" i="24"/>
  <c r="K229" i="23"/>
  <c r="I223" i="22"/>
  <c r="J308" i="38"/>
  <c r="L59" i="38"/>
  <c r="K33" i="51"/>
  <c r="K254" i="51" s="1"/>
  <c r="C12" i="34"/>
  <c r="C207" i="34" s="1"/>
  <c r="J60" i="38"/>
  <c r="J58" i="38"/>
  <c r="K61" i="38"/>
  <c r="R304" i="9"/>
  <c r="F217" i="23"/>
  <c r="C123" i="13"/>
  <c r="B374" i="13"/>
  <c r="C374" i="13"/>
  <c r="E103" i="38"/>
  <c r="I187" i="38"/>
  <c r="F12" i="28"/>
  <c r="F208" i="28" s="1"/>
  <c r="GD304" i="9"/>
  <c r="F145" i="4"/>
  <c r="C312" i="13"/>
  <c r="C62" i="13"/>
  <c r="B312" i="13"/>
  <c r="D36" i="38"/>
  <c r="H36" i="38"/>
  <c r="P14" i="19"/>
  <c r="P214" i="19" s="1"/>
  <c r="P11" i="19"/>
  <c r="P211" i="19" s="1"/>
  <c r="H335" i="38"/>
  <c r="J205" i="34"/>
  <c r="J33" i="34"/>
  <c r="J228" i="34" s="1"/>
  <c r="H20" i="23"/>
  <c r="H225" i="23" s="1"/>
  <c r="H225" i="19"/>
  <c r="I241" i="22"/>
  <c r="B142" i="4"/>
  <c r="C223" i="17"/>
  <c r="K47" i="21"/>
  <c r="C253" i="21" s="1"/>
  <c r="E37" i="21"/>
  <c r="E243" i="21" s="1"/>
  <c r="K233" i="23"/>
  <c r="C229" i="23"/>
  <c r="F62" i="37"/>
  <c r="C194" i="25"/>
  <c r="E18" i="21"/>
  <c r="E224" i="21" s="1"/>
  <c r="D233" i="23"/>
  <c r="G57" i="36"/>
  <c r="B233" i="24"/>
  <c r="K237" i="23"/>
  <c r="D240" i="22"/>
  <c r="C243" i="22"/>
  <c r="J23" i="19"/>
  <c r="J223" i="19" s="1"/>
  <c r="J46" i="34"/>
  <c r="J241" i="34" s="1"/>
  <c r="F60" i="9"/>
  <c r="F267" i="9" s="1"/>
  <c r="H89" i="9"/>
  <c r="G29" i="8" s="1"/>
  <c r="G123" i="8" s="1"/>
  <c r="F31" i="9"/>
  <c r="F238" i="9" s="1"/>
  <c r="F9" i="4"/>
  <c r="F107" i="4" s="1"/>
  <c r="C237" i="23"/>
  <c r="I229" i="22"/>
  <c r="J237" i="24"/>
  <c r="K29" i="29"/>
  <c r="K225" i="29" s="1"/>
  <c r="C252" i="21"/>
  <c r="G20" i="22"/>
  <c r="G42" i="22" s="1"/>
  <c r="G246" i="22" s="1"/>
  <c r="D237" i="23"/>
  <c r="K14" i="51"/>
  <c r="K237" i="51" s="1"/>
  <c r="C220" i="24"/>
  <c r="C241" i="23"/>
  <c r="F44" i="33"/>
  <c r="F248" i="33" s="1"/>
  <c r="B210" i="20"/>
  <c r="I233" i="22"/>
  <c r="C218" i="24"/>
  <c r="I211" i="29"/>
  <c r="E213" i="28"/>
  <c r="P17" i="17"/>
  <c r="B214" i="17" s="1"/>
  <c r="G211" i="15"/>
  <c r="D229" i="23"/>
  <c r="B238" i="24"/>
  <c r="B227" i="24"/>
  <c r="K234" i="23"/>
  <c r="I243" i="22"/>
  <c r="D238" i="22"/>
  <c r="P232" i="32"/>
  <c r="J211" i="24"/>
  <c r="B237" i="24"/>
  <c r="M216" i="29"/>
  <c r="J240" i="24"/>
  <c r="C237" i="24"/>
  <c r="N129" i="6"/>
  <c r="E82" i="13"/>
  <c r="C211" i="24"/>
  <c r="DR304" i="9"/>
  <c r="F11" i="28"/>
  <c r="C229" i="24"/>
  <c r="J225" i="24"/>
  <c r="B211" i="24"/>
  <c r="P219" i="32"/>
  <c r="C225" i="24"/>
  <c r="I238" i="22"/>
  <c r="E192" i="25"/>
  <c r="N223" i="19"/>
  <c r="G34" i="51"/>
  <c r="D24" i="34" s="1"/>
  <c r="D219" i="34" s="1"/>
  <c r="K39" i="34"/>
  <c r="K234" i="34" s="1"/>
  <c r="M39" i="32"/>
  <c r="M41" i="32" s="1"/>
  <c r="I325" i="38" s="1"/>
  <c r="C212" i="24"/>
  <c r="E22" i="21"/>
  <c r="E228" i="21" s="1"/>
  <c r="B212" i="24"/>
  <c r="B240" i="24"/>
  <c r="C22" i="25"/>
  <c r="C204" i="25" s="1"/>
  <c r="R23" i="19"/>
  <c r="R223" i="19" s="1"/>
  <c r="I79" i="33"/>
  <c r="I284" i="33" s="1"/>
  <c r="E22" i="51"/>
  <c r="E245" i="51" s="1"/>
  <c r="K236" i="23"/>
  <c r="G233" i="32"/>
  <c r="B109" i="6"/>
  <c r="L26" i="38"/>
  <c r="C412" i="13"/>
  <c r="J21" i="34"/>
  <c r="J216" i="34" s="1"/>
  <c r="G110" i="5"/>
  <c r="H11" i="33"/>
  <c r="H217" i="33" s="1"/>
  <c r="F37" i="50"/>
  <c r="K44" i="34" s="1"/>
  <c r="K239" i="34" s="1"/>
  <c r="G254" i="51"/>
  <c r="P142" i="6"/>
  <c r="E252" i="51"/>
  <c r="H332" i="38"/>
  <c r="B3" i="40"/>
  <c r="EP304" i="9"/>
  <c r="I41" i="32"/>
  <c r="I97" i="38" s="1"/>
  <c r="J213" i="24"/>
  <c r="E35" i="21"/>
  <c r="E241" i="21" s="1"/>
  <c r="F29" i="21"/>
  <c r="F235" i="21" s="1"/>
  <c r="J12" i="24"/>
  <c r="J214" i="24" s="1"/>
  <c r="E214" i="28"/>
  <c r="L13" i="20"/>
  <c r="L212" i="20" s="1"/>
  <c r="E246" i="38"/>
  <c r="C32" i="34"/>
  <c r="C227" i="34" s="1"/>
  <c r="P21" i="17"/>
  <c r="P218" i="17" s="1"/>
  <c r="F50" i="9"/>
  <c r="F256" i="9" s="1"/>
  <c r="E229" i="38"/>
  <c r="Q35" i="29"/>
  <c r="Q231" i="29" s="1"/>
  <c r="E140" i="13"/>
  <c r="I131" i="7"/>
  <c r="J212" i="24"/>
  <c r="I18" i="7"/>
  <c r="I37" i="7" s="1"/>
  <c r="G50" i="35"/>
  <c r="C234" i="24"/>
  <c r="C231" i="23"/>
  <c r="I240" i="22"/>
  <c r="M205" i="32"/>
  <c r="M204" i="32"/>
  <c r="M203" i="32"/>
  <c r="E389" i="13"/>
  <c r="C1" i="43"/>
  <c r="C186" i="18"/>
  <c r="C170" i="18"/>
  <c r="I27" i="38"/>
  <c r="H333" i="38"/>
  <c r="A33" i="54"/>
  <c r="BF304" i="9"/>
  <c r="G36" i="36"/>
  <c r="G29" i="35"/>
  <c r="E366" i="13"/>
  <c r="B357" i="13" s="1"/>
  <c r="D224" i="23"/>
  <c r="B216" i="24"/>
  <c r="M231" i="51"/>
  <c r="J223" i="17"/>
  <c r="D23" i="34"/>
  <c r="D218" i="34" s="1"/>
  <c r="C50" i="44"/>
  <c r="Q33" i="29"/>
  <c r="Q229" i="29" s="1"/>
  <c r="E27" i="38"/>
  <c r="H8" i="9"/>
  <c r="H215" i="9" s="1"/>
  <c r="G7" i="15"/>
  <c r="G209" i="15" s="1"/>
  <c r="E125" i="13"/>
  <c r="H114" i="38"/>
  <c r="C192" i="25"/>
  <c r="E25" i="25"/>
  <c r="E186" i="38" s="1"/>
  <c r="E6" i="44"/>
  <c r="E76" i="44" s="1"/>
  <c r="C19" i="41"/>
  <c r="F20" i="24"/>
  <c r="F42" i="24" s="1"/>
  <c r="F244" i="24" s="1"/>
  <c r="G10" i="5"/>
  <c r="B106" i="5" s="1"/>
  <c r="K59" i="38"/>
  <c r="J59" i="38"/>
  <c r="L320" i="38"/>
  <c r="L58" i="38"/>
  <c r="K26" i="38"/>
  <c r="K58" i="38"/>
  <c r="K60" i="38"/>
  <c r="L60" i="38"/>
  <c r="B298" i="9"/>
  <c r="L223" i="19"/>
  <c r="I116" i="38"/>
  <c r="I118" i="38" s="1"/>
  <c r="G19" i="37"/>
  <c r="H19" i="37" s="1"/>
  <c r="G54" i="36"/>
  <c r="H54" i="36" s="1"/>
  <c r="C227" i="20"/>
  <c r="G25" i="25"/>
  <c r="G207" i="25" s="1"/>
  <c r="G204" i="25"/>
  <c r="C227" i="22"/>
  <c r="I16" i="22"/>
  <c r="I220" i="22" s="1"/>
  <c r="Q15" i="29"/>
  <c r="N101" i="33"/>
  <c r="G101" i="33" s="1"/>
  <c r="G306" i="33" s="1"/>
  <c r="I221" i="22"/>
  <c r="D221" i="22"/>
  <c r="I296" i="38"/>
  <c r="K296" i="38" s="1"/>
  <c r="P208" i="32"/>
  <c r="P25" i="19"/>
  <c r="P225" i="19" s="1"/>
  <c r="F222" i="50"/>
  <c r="F38" i="50"/>
  <c r="C236" i="24"/>
  <c r="J236" i="24"/>
  <c r="J216" i="24"/>
  <c r="H17" i="21"/>
  <c r="I223" i="21" s="1"/>
  <c r="F20" i="21"/>
  <c r="F226" i="21" s="1"/>
  <c r="C222" i="23"/>
  <c r="C219" i="23"/>
  <c r="K219" i="23"/>
  <c r="D216" i="23"/>
  <c r="K216" i="23"/>
  <c r="R41" i="32"/>
  <c r="R235" i="32" s="1"/>
  <c r="R233" i="32"/>
  <c r="K235" i="32"/>
  <c r="I95" i="38"/>
  <c r="V37" i="32"/>
  <c r="M231" i="32"/>
  <c r="V36" i="32"/>
  <c r="M230" i="32"/>
  <c r="V25" i="32"/>
  <c r="M219" i="32"/>
  <c r="V21" i="32"/>
  <c r="M215" i="32"/>
  <c r="K31" i="29"/>
  <c r="K227" i="29" s="1"/>
  <c r="G227" i="29"/>
  <c r="E34" i="21"/>
  <c r="E240" i="21" s="1"/>
  <c r="D235" i="22"/>
  <c r="E30" i="21"/>
  <c r="E236" i="21" s="1"/>
  <c r="C231" i="22"/>
  <c r="P212" i="32"/>
  <c r="I300" i="38"/>
  <c r="K300" i="38" s="1"/>
  <c r="I298" i="38"/>
  <c r="K298" i="38" s="1"/>
  <c r="P210" i="32"/>
  <c r="I297" i="38"/>
  <c r="L297" i="38" s="1"/>
  <c r="P209" i="32"/>
  <c r="I294" i="38"/>
  <c r="K294" i="38" s="1"/>
  <c r="P206" i="32"/>
  <c r="I293" i="38"/>
  <c r="L293" i="38" s="1"/>
  <c r="P205" i="32"/>
  <c r="C221" i="22"/>
  <c r="F220" i="26"/>
  <c r="Q18" i="29"/>
  <c r="U18" i="29" s="1"/>
  <c r="E285" i="38" s="1"/>
  <c r="N102" i="33"/>
  <c r="D24" i="42"/>
  <c r="D11" i="42"/>
  <c r="O207" i="27"/>
  <c r="J227" i="50"/>
  <c r="I85" i="33"/>
  <c r="I290" i="33" s="1"/>
  <c r="C231" i="24"/>
  <c r="J231" i="24"/>
  <c r="H28" i="21"/>
  <c r="I234" i="21" s="1"/>
  <c r="C227" i="24"/>
  <c r="H21" i="21"/>
  <c r="I227" i="21" s="1"/>
  <c r="J220" i="24"/>
  <c r="E245" i="23"/>
  <c r="K40" i="23"/>
  <c r="F37" i="21"/>
  <c r="F243" i="21" s="1"/>
  <c r="C239" i="23"/>
  <c r="K239" i="23"/>
  <c r="F16" i="21"/>
  <c r="F222" i="21" s="1"/>
  <c r="K218" i="23"/>
  <c r="I44" i="38"/>
  <c r="G217" i="23"/>
  <c r="F13" i="21"/>
  <c r="C215" i="23"/>
  <c r="E139" i="6"/>
  <c r="E11" i="28"/>
  <c r="K11" i="28" s="1"/>
  <c r="K207" i="28" s="1"/>
  <c r="C201" i="34"/>
  <c r="F59" i="9"/>
  <c r="F266" i="9" s="1"/>
  <c r="F10" i="9"/>
  <c r="F217" i="9" s="1"/>
  <c r="O221" i="17"/>
  <c r="P24" i="17"/>
  <c r="P221" i="17" s="1"/>
  <c r="O217" i="17"/>
  <c r="P20" i="17"/>
  <c r="B217" i="17" s="1"/>
  <c r="A109" i="6"/>
  <c r="N103" i="33"/>
  <c r="L4" i="45"/>
  <c r="C228" i="20"/>
  <c r="G259" i="51"/>
  <c r="G232" i="51"/>
  <c r="I46" i="38"/>
  <c r="I48" i="38" s="1"/>
  <c r="I53" i="38"/>
  <c r="G19" i="28"/>
  <c r="G215" i="28" s="1"/>
  <c r="J38" i="50"/>
  <c r="J235" i="50" s="1"/>
  <c r="K238" i="23"/>
  <c r="D244" i="23"/>
  <c r="O233" i="32"/>
  <c r="B233" i="32"/>
  <c r="G129" i="6"/>
  <c r="G237" i="37"/>
  <c r="L291" i="38"/>
  <c r="B393" i="13"/>
  <c r="M259" i="51"/>
  <c r="M232" i="51"/>
  <c r="I56" i="38"/>
  <c r="I57" i="38" s="1"/>
  <c r="G231" i="51"/>
  <c r="I52" i="38"/>
  <c r="M208" i="32"/>
  <c r="C343" i="13"/>
  <c r="D11" i="33"/>
  <c r="I13" i="38"/>
  <c r="F223" i="19"/>
  <c r="D46" i="38"/>
  <c r="H47" i="38"/>
  <c r="H46" i="38"/>
  <c r="D288" i="38"/>
  <c r="D286" i="38"/>
  <c r="D284" i="38"/>
  <c r="D287" i="38"/>
  <c r="D285" i="38"/>
  <c r="D283" i="38"/>
  <c r="M208" i="29"/>
  <c r="Q12" i="29"/>
  <c r="Q208" i="29" s="1"/>
  <c r="H52" i="38"/>
  <c r="H43" i="38"/>
  <c r="H53" i="38"/>
  <c r="H44" i="38"/>
  <c r="H42" i="38"/>
  <c r="H244" i="38"/>
  <c r="D52" i="38"/>
  <c r="P23" i="17"/>
  <c r="P220" i="17" s="1"/>
  <c r="E237" i="38"/>
  <c r="E249" i="38"/>
  <c r="C45" i="33"/>
  <c r="C252" i="33" s="1"/>
  <c r="E211" i="38"/>
  <c r="J211" i="38" s="1"/>
  <c r="F89" i="9"/>
  <c r="F296" i="9" s="1"/>
  <c r="J235" i="24"/>
  <c r="G207" i="27"/>
  <c r="E34" i="51"/>
  <c r="G30" i="37"/>
  <c r="M9" i="27"/>
  <c r="M204" i="27" s="1"/>
  <c r="D215" i="22"/>
  <c r="D214" i="23"/>
  <c r="B221" i="24"/>
  <c r="C19" i="45"/>
  <c r="E23" i="29" s="1"/>
  <c r="E219" i="29" s="1"/>
  <c r="G24" i="36"/>
  <c r="M211" i="29"/>
  <c r="H10" i="26"/>
  <c r="H206" i="26" s="1"/>
  <c r="I217" i="22"/>
  <c r="E14" i="21"/>
  <c r="E220" i="21" s="1"/>
  <c r="K12" i="23"/>
  <c r="K217" i="23" s="1"/>
  <c r="J232" i="24"/>
  <c r="H44" i="20"/>
  <c r="E267" i="38" s="1"/>
  <c r="K19" i="45"/>
  <c r="K24" i="45" s="1"/>
  <c r="K30" i="45" s="1"/>
  <c r="L22" i="26"/>
  <c r="L218" i="26" s="1"/>
  <c r="G12" i="8"/>
  <c r="G25" i="36"/>
  <c r="G11" i="36"/>
  <c r="G60" i="35"/>
  <c r="H60" i="35" s="1"/>
  <c r="G48" i="35"/>
  <c r="M227" i="29"/>
  <c r="E235" i="51"/>
  <c r="I10" i="25"/>
  <c r="B241" i="24"/>
  <c r="B235" i="24"/>
  <c r="J229" i="24"/>
  <c r="B229" i="24"/>
  <c r="D222" i="23"/>
  <c r="C216" i="23"/>
  <c r="D223" i="23"/>
  <c r="C237" i="22"/>
  <c r="D223" i="22"/>
  <c r="P221" i="32"/>
  <c r="M211" i="32"/>
  <c r="I9" i="5"/>
  <c r="I105" i="5" s="1"/>
  <c r="F40" i="9"/>
  <c r="B247" i="9" s="1"/>
  <c r="G42" i="35"/>
  <c r="I239" i="21"/>
  <c r="L19" i="45"/>
  <c r="L24" i="45" s="1"/>
  <c r="L30" i="45" s="1"/>
  <c r="L32" i="45" s="1"/>
  <c r="L33" i="45" s="1"/>
  <c r="G231" i="29"/>
  <c r="K17" i="29"/>
  <c r="I271" i="38" s="1"/>
  <c r="K271" i="38" s="1"/>
  <c r="M215" i="29"/>
  <c r="F20" i="23"/>
  <c r="C235" i="24"/>
  <c r="I19" i="45"/>
  <c r="S93" i="33"/>
  <c r="I93" i="33" s="1"/>
  <c r="I298" i="33" s="1"/>
  <c r="J225" i="19"/>
  <c r="H22" i="31"/>
  <c r="H224" i="31" s="1"/>
  <c r="C235" i="20"/>
  <c r="J241" i="24"/>
  <c r="C232" i="24"/>
  <c r="C223" i="23"/>
  <c r="I215" i="22"/>
  <c r="P218" i="32"/>
  <c r="I211" i="17"/>
  <c r="C241" i="24"/>
  <c r="B211" i="25"/>
  <c r="G68" i="36"/>
  <c r="B109" i="33"/>
  <c r="B314" i="33" s="1"/>
  <c r="D105" i="33"/>
  <c r="D310" i="33" s="1"/>
  <c r="G64" i="36"/>
  <c r="Q13" i="29"/>
  <c r="Q209" i="29" s="1"/>
  <c r="L19" i="28"/>
  <c r="M19" i="28" s="1"/>
  <c r="M215" i="28" s="1"/>
  <c r="F215" i="28"/>
  <c r="G66" i="36"/>
  <c r="D72" i="44"/>
  <c r="C240" i="24"/>
  <c r="C238" i="23"/>
  <c r="C234" i="23"/>
  <c r="K223" i="23"/>
  <c r="F36" i="21"/>
  <c r="F242" i="21" s="1"/>
  <c r="D243" i="22"/>
  <c r="P220" i="32"/>
  <c r="P214" i="32"/>
  <c r="F61" i="9"/>
  <c r="F268" i="9" s="1"/>
  <c r="D225" i="21"/>
  <c r="F8" i="4"/>
  <c r="F106" i="4" s="1"/>
  <c r="E275" i="13"/>
  <c r="E272" i="13"/>
  <c r="G249" i="21"/>
  <c r="L23" i="21"/>
  <c r="E163" i="38" s="1"/>
  <c r="J163" i="38" s="1"/>
  <c r="L161" i="38"/>
  <c r="G221" i="21"/>
  <c r="D23" i="21"/>
  <c r="G12" i="29"/>
  <c r="R51" i="6"/>
  <c r="R150" i="6" s="1"/>
  <c r="R142" i="6"/>
  <c r="B215" i="20"/>
  <c r="C215" i="20"/>
  <c r="C210" i="20"/>
  <c r="D239" i="20"/>
  <c r="L40" i="20"/>
  <c r="L239" i="20" s="1"/>
  <c r="F212" i="20"/>
  <c r="N13" i="20"/>
  <c r="N212" i="20" s="1"/>
  <c r="O226" i="29"/>
  <c r="E265" i="38"/>
  <c r="L265" i="38" s="1"/>
  <c r="E105" i="33"/>
  <c r="E310" i="33" s="1"/>
  <c r="E14" i="25"/>
  <c r="E196" i="25" s="1"/>
  <c r="E194" i="25"/>
  <c r="C228" i="24"/>
  <c r="J228" i="24"/>
  <c r="C232" i="22"/>
  <c r="I232" i="22"/>
  <c r="D232" i="22"/>
  <c r="C228" i="22"/>
  <c r="D228" i="22"/>
  <c r="E27" i="21"/>
  <c r="G27" i="21" s="1"/>
  <c r="H233" i="21" s="1"/>
  <c r="B246" i="9"/>
  <c r="F246" i="9"/>
  <c r="D282" i="9"/>
  <c r="D274" i="9"/>
  <c r="E31" i="21"/>
  <c r="E237" i="21" s="1"/>
  <c r="G204" i="27"/>
  <c r="B228" i="24"/>
  <c r="L32" i="20"/>
  <c r="L231" i="20" s="1"/>
  <c r="K35" i="34"/>
  <c r="K230" i="34" s="1"/>
  <c r="D286" i="33"/>
  <c r="H19" i="45"/>
  <c r="H24" i="45" s="1"/>
  <c r="H30" i="45" s="1"/>
  <c r="H32" i="45" s="1"/>
  <c r="H33" i="45" s="1"/>
  <c r="E280" i="38"/>
  <c r="K280" i="38" s="1"/>
  <c r="E256" i="38"/>
  <c r="E15" i="29"/>
  <c r="E211" i="29" s="1"/>
  <c r="D214" i="30"/>
  <c r="D25" i="30"/>
  <c r="F9" i="30" s="1"/>
  <c r="J17" i="50"/>
  <c r="J214" i="50" s="1"/>
  <c r="O92" i="33"/>
  <c r="I92" i="33" s="1"/>
  <c r="I297" i="33" s="1"/>
  <c r="J36" i="50"/>
  <c r="J233" i="50" s="1"/>
  <c r="I319" i="38"/>
  <c r="J319" i="38" s="1"/>
  <c r="P231" i="32"/>
  <c r="I304" i="38"/>
  <c r="K304" i="38" s="1"/>
  <c r="P216" i="32"/>
  <c r="I303" i="38"/>
  <c r="L303" i="38" s="1"/>
  <c r="P215" i="32"/>
  <c r="E207" i="25"/>
  <c r="G120" i="7"/>
  <c r="I102" i="38"/>
  <c r="I107" i="7"/>
  <c r="E107" i="7"/>
  <c r="B234" i="20"/>
  <c r="C226" i="24"/>
  <c r="B226" i="24"/>
  <c r="M218" i="32"/>
  <c r="V24" i="32"/>
  <c r="V23" i="32"/>
  <c r="M217" i="32"/>
  <c r="H27" i="21"/>
  <c r="I233" i="21" s="1"/>
  <c r="I190" i="25"/>
  <c r="D19" i="45"/>
  <c r="G23" i="29" s="1"/>
  <c r="G219" i="29" s="1"/>
  <c r="L142" i="6"/>
  <c r="F62" i="36"/>
  <c r="F44" i="20"/>
  <c r="F243" i="20" s="1"/>
  <c r="E61" i="35"/>
  <c r="G61" i="35" s="1"/>
  <c r="N142" i="6"/>
  <c r="D45" i="33"/>
  <c r="K12" i="27"/>
  <c r="K207" i="27" s="1"/>
  <c r="D20" i="44"/>
  <c r="D76" i="44"/>
  <c r="D50" i="44"/>
  <c r="CL304" i="9"/>
  <c r="DJ304" i="9"/>
  <c r="EH304" i="9"/>
  <c r="IP304" i="9"/>
  <c r="AP304" i="9"/>
  <c r="CD304" i="9"/>
  <c r="DB304" i="9"/>
  <c r="HJ304" i="9"/>
  <c r="IH304" i="9"/>
  <c r="HZ304" i="9"/>
  <c r="FN304" i="9"/>
  <c r="HB304" i="9"/>
  <c r="B224" i="20"/>
  <c r="C237" i="20"/>
  <c r="B235" i="20"/>
  <c r="D44" i="20"/>
  <c r="D243" i="20" s="1"/>
  <c r="G192" i="25"/>
  <c r="G12" i="25"/>
  <c r="G14" i="25" s="1"/>
  <c r="F21" i="28"/>
  <c r="F217" i="28" s="1"/>
  <c r="H29" i="21"/>
  <c r="I235" i="21" s="1"/>
  <c r="F42" i="21"/>
  <c r="F248" i="21" s="1"/>
  <c r="C244" i="23"/>
  <c r="K244" i="23"/>
  <c r="F40" i="21"/>
  <c r="F246" i="21" s="1"/>
  <c r="C242" i="23"/>
  <c r="D242" i="23"/>
  <c r="F33" i="21"/>
  <c r="F239" i="21" s="1"/>
  <c r="D235" i="23"/>
  <c r="K235" i="23"/>
  <c r="C235" i="23"/>
  <c r="M232" i="32"/>
  <c r="F62" i="9"/>
  <c r="L223" i="17"/>
  <c r="E38" i="21"/>
  <c r="E244" i="21" s="1"/>
  <c r="I239" i="22"/>
  <c r="E26" i="21"/>
  <c r="E232" i="21" s="1"/>
  <c r="I227" i="22"/>
  <c r="M214" i="32"/>
  <c r="V20" i="32"/>
  <c r="H3" i="38"/>
  <c r="J4" i="31"/>
  <c r="J207" i="31" s="1"/>
  <c r="M7" i="25"/>
  <c r="M189" i="25" s="1"/>
  <c r="G21" i="25"/>
  <c r="G203" i="25" s="1"/>
  <c r="E236" i="15"/>
  <c r="P53" i="6"/>
  <c r="F70" i="37" s="1"/>
  <c r="E53" i="6"/>
  <c r="D31" i="38"/>
  <c r="H307" i="38"/>
  <c r="D311" i="38"/>
  <c r="F288" i="9"/>
  <c r="E20" i="8"/>
  <c r="E114" i="8" s="1"/>
  <c r="C221" i="15"/>
  <c r="D239" i="22"/>
  <c r="D241" i="23"/>
  <c r="I235" i="22"/>
  <c r="L61" i="38"/>
  <c r="P14" i="17"/>
  <c r="I110" i="38" s="1"/>
  <c r="I112" i="38" s="1"/>
  <c r="J61" i="38"/>
  <c r="J19" i="45"/>
  <c r="J24" i="45" s="1"/>
  <c r="J30" i="45" s="1"/>
  <c r="J32" i="45" s="1"/>
  <c r="J33" i="45" s="1"/>
  <c r="B226" i="20"/>
  <c r="Q17" i="29"/>
  <c r="Q213" i="29" s="1"/>
  <c r="M213" i="29"/>
  <c r="H37" i="21"/>
  <c r="I243" i="21" s="1"/>
  <c r="B234" i="24"/>
  <c r="J234" i="24"/>
  <c r="H31" i="21"/>
  <c r="I237" i="21" s="1"/>
  <c r="B230" i="24"/>
  <c r="K241" i="23"/>
  <c r="F31" i="21"/>
  <c r="F237" i="21" s="1"/>
  <c r="C239" i="22"/>
  <c r="C219" i="22"/>
  <c r="D219" i="22"/>
  <c r="M210" i="32"/>
  <c r="V16" i="32"/>
  <c r="V15" i="32"/>
  <c r="N139" i="6"/>
  <c r="E23" i="38"/>
  <c r="L23" i="38" s="1"/>
  <c r="H145" i="4"/>
  <c r="H6" i="32"/>
  <c r="E24" i="43"/>
  <c r="H4" i="45"/>
  <c r="F223" i="17"/>
  <c r="F30" i="9"/>
  <c r="F237" i="9" s="1"/>
  <c r="P22" i="17"/>
  <c r="P19" i="17"/>
  <c r="B216" i="17" s="1"/>
  <c r="I216" i="17"/>
  <c r="L308" i="38"/>
  <c r="T41" i="32"/>
  <c r="T233" i="32"/>
  <c r="D231" i="22"/>
  <c r="K215" i="23"/>
  <c r="F19" i="26"/>
  <c r="J19" i="26" s="1"/>
  <c r="J215" i="26" s="1"/>
  <c r="D215" i="23"/>
  <c r="G39" i="21"/>
  <c r="H245" i="21" s="1"/>
  <c r="D298" i="9"/>
  <c r="G47" i="35"/>
  <c r="H47" i="35" s="1"/>
  <c r="D220" i="50"/>
  <c r="H16" i="21"/>
  <c r="I222" i="21" s="1"/>
  <c r="C216" i="24"/>
  <c r="H14" i="21"/>
  <c r="I220" i="21" s="1"/>
  <c r="B213" i="24"/>
  <c r="F18" i="21"/>
  <c r="F224" i="21" s="1"/>
  <c r="C220" i="23"/>
  <c r="K220" i="23"/>
  <c r="I231" i="22"/>
  <c r="M213" i="32"/>
  <c r="P211" i="32"/>
  <c r="V13" i="32"/>
  <c r="M207" i="32"/>
  <c r="I292" i="38"/>
  <c r="P204" i="32"/>
  <c r="I109" i="38"/>
  <c r="K109" i="38" s="1"/>
  <c r="F29" i="9"/>
  <c r="G23" i="5"/>
  <c r="I18" i="38" s="1"/>
  <c r="C389" i="13"/>
  <c r="E343" i="13"/>
  <c r="I8" i="5"/>
  <c r="B104" i="5" s="1"/>
  <c r="H9" i="4"/>
  <c r="E304" i="13"/>
  <c r="E296" i="13"/>
  <c r="A285" i="13" s="1"/>
  <c r="H8" i="4"/>
  <c r="H25" i="30"/>
  <c r="J9" i="30" s="1"/>
  <c r="J200" i="30" s="1"/>
  <c r="B225" i="24"/>
  <c r="D234" i="23"/>
  <c r="K231" i="23"/>
  <c r="C240" i="22"/>
  <c r="I237" i="22"/>
  <c r="D233" i="22"/>
  <c r="C229" i="22"/>
  <c r="O211" i="17"/>
  <c r="P16" i="17"/>
  <c r="G234" i="36"/>
  <c r="G53" i="37"/>
  <c r="H53" i="37" s="1"/>
  <c r="G39" i="37"/>
  <c r="G37" i="37"/>
  <c r="J32" i="50"/>
  <c r="J229" i="50" s="1"/>
  <c r="J302" i="38"/>
  <c r="C393" i="13"/>
  <c r="A59" i="41"/>
  <c r="B26" i="4" s="1"/>
  <c r="K299" i="38"/>
  <c r="L262" i="38"/>
  <c r="I214" i="29"/>
  <c r="D102" i="33"/>
  <c r="D307" i="33" s="1"/>
  <c r="P214" i="17"/>
  <c r="G22" i="10"/>
  <c r="G21" i="52"/>
  <c r="F21" i="34"/>
  <c r="F216" i="34" s="1"/>
  <c r="M252" i="51"/>
  <c r="H20" i="21"/>
  <c r="B219" i="24"/>
  <c r="C219" i="24"/>
  <c r="J219" i="24"/>
  <c r="H18" i="21"/>
  <c r="I224" i="21" s="1"/>
  <c r="B218" i="24"/>
  <c r="E21" i="21"/>
  <c r="E227" i="21" s="1"/>
  <c r="C222" i="22"/>
  <c r="H216" i="22"/>
  <c r="I179" i="38"/>
  <c r="S41" i="32"/>
  <c r="S233" i="32"/>
  <c r="N41" i="32"/>
  <c r="N233" i="32"/>
  <c r="H41" i="32"/>
  <c r="H233" i="32"/>
  <c r="I318" i="38"/>
  <c r="K318" i="38" s="1"/>
  <c r="P230" i="32"/>
  <c r="I317" i="38"/>
  <c r="K317" i="38" s="1"/>
  <c r="P229" i="32"/>
  <c r="I316" i="38"/>
  <c r="J316" i="38" s="1"/>
  <c r="P228" i="32"/>
  <c r="I315" i="38"/>
  <c r="J315" i="38" s="1"/>
  <c r="P227" i="32"/>
  <c r="I314" i="38"/>
  <c r="L314" i="38" s="1"/>
  <c r="P226" i="32"/>
  <c r="I313" i="38"/>
  <c r="P225" i="32"/>
  <c r="I312" i="38"/>
  <c r="J312" i="38" s="1"/>
  <c r="P224" i="32"/>
  <c r="I311" i="38"/>
  <c r="K311" i="38" s="1"/>
  <c r="P223" i="32"/>
  <c r="I310" i="38"/>
  <c r="L310" i="38" s="1"/>
  <c r="P222" i="32"/>
  <c r="V26" i="32"/>
  <c r="M220" i="32"/>
  <c r="V22" i="32"/>
  <c r="M216" i="32"/>
  <c r="V18" i="32"/>
  <c r="M212" i="32"/>
  <c r="H5" i="4"/>
  <c r="H103" i="4" s="1"/>
  <c r="E111" i="13"/>
  <c r="E50" i="13"/>
  <c r="K40" i="4"/>
  <c r="R8" i="6"/>
  <c r="R107" i="6" s="1"/>
  <c r="G7" i="8"/>
  <c r="G101" i="8" s="1"/>
  <c r="N14" i="26"/>
  <c r="N210" i="26" s="1"/>
  <c r="O6" i="27"/>
  <c r="O201" i="27" s="1"/>
  <c r="F6" i="50"/>
  <c r="F204" i="50" s="1"/>
  <c r="J30" i="30"/>
  <c r="J221" i="30" s="1"/>
  <c r="E2" i="35"/>
  <c r="B198" i="35" s="1"/>
  <c r="I200" i="32"/>
  <c r="J6" i="50"/>
  <c r="J204" i="50" s="1"/>
  <c r="M5" i="51"/>
  <c r="M228" i="51" s="1"/>
  <c r="F5" i="35"/>
  <c r="F202" i="35" s="1"/>
  <c r="I8" i="6"/>
  <c r="I107" i="6" s="1"/>
  <c r="E21" i="25"/>
  <c r="E203" i="25" s="1"/>
  <c r="H4" i="31"/>
  <c r="H207" i="31" s="1"/>
  <c r="E3" i="40"/>
  <c r="B15" i="43"/>
  <c r="I4" i="45"/>
  <c r="E29" i="39"/>
  <c r="H22" i="10" s="1"/>
  <c r="D9" i="33"/>
  <c r="D215" i="33" s="1"/>
  <c r="F40" i="33"/>
  <c r="F246" i="33" s="1"/>
  <c r="G56" i="33"/>
  <c r="G262" i="33" s="1"/>
  <c r="I69" i="33"/>
  <c r="I274" i="33" s="1"/>
  <c r="D79" i="33"/>
  <c r="D284" i="33" s="1"/>
  <c r="I7" i="7"/>
  <c r="I104" i="7" s="1"/>
  <c r="P6" i="26"/>
  <c r="P202" i="26" s="1"/>
  <c r="K7" i="25"/>
  <c r="K189" i="25" s="1"/>
  <c r="H5" i="30"/>
  <c r="H196" i="30" s="1"/>
  <c r="E3" i="42"/>
  <c r="K4" i="45"/>
  <c r="D69" i="33"/>
  <c r="D274" i="33" s="1"/>
  <c r="H330" i="38"/>
  <c r="E41" i="13"/>
  <c r="E100" i="13"/>
  <c r="H331" i="38"/>
  <c r="G21" i="15"/>
  <c r="G223" i="15" s="1"/>
  <c r="B112" i="33"/>
  <c r="B317" i="33" s="1"/>
  <c r="C236" i="15"/>
  <c r="N53" i="6"/>
  <c r="D210" i="50"/>
  <c r="I130" i="38"/>
  <c r="E13" i="38"/>
  <c r="I117" i="5"/>
  <c r="C17" i="13"/>
  <c r="C23" i="34"/>
  <c r="C218" i="34" s="1"/>
  <c r="E242" i="38"/>
  <c r="G28" i="35"/>
  <c r="G27" i="7"/>
  <c r="C45" i="34" s="1"/>
  <c r="H252" i="21"/>
  <c r="D218" i="26"/>
  <c r="J262" i="38"/>
  <c r="F10" i="34"/>
  <c r="F18" i="34" s="1"/>
  <c r="F213" i="34" s="1"/>
  <c r="E8" i="13"/>
  <c r="E266" i="13" s="1"/>
  <c r="E134" i="13"/>
  <c r="E393" i="13" s="1"/>
  <c r="E65" i="13"/>
  <c r="E322" i="13" s="1"/>
  <c r="D114" i="38"/>
  <c r="P39" i="32"/>
  <c r="A32" i="54"/>
  <c r="E99" i="33"/>
  <c r="E304" i="33" s="1"/>
  <c r="J37" i="34"/>
  <c r="J232" i="34" s="1"/>
  <c r="C288" i="33"/>
  <c r="J36" i="34"/>
  <c r="J231" i="34" s="1"/>
  <c r="C287" i="33"/>
  <c r="F27" i="33"/>
  <c r="F233" i="33" s="1"/>
  <c r="I256" i="38"/>
  <c r="O211" i="29"/>
  <c r="J4" i="45"/>
  <c r="B5" i="43"/>
  <c r="E87" i="38"/>
  <c r="K87" i="38" s="1"/>
  <c r="P51" i="6"/>
  <c r="AH304" i="9"/>
  <c r="BN304" i="9"/>
  <c r="CT304" i="9"/>
  <c r="DZ304" i="9"/>
  <c r="FF304" i="9"/>
  <c r="GL304" i="9"/>
  <c r="HR304" i="9"/>
  <c r="F304" i="9"/>
  <c r="Z304" i="9"/>
  <c r="AX304" i="9"/>
  <c r="BV304" i="9"/>
  <c r="EX304" i="9"/>
  <c r="FV304" i="9"/>
  <c r="GT304" i="9"/>
  <c r="F11" i="31"/>
  <c r="H212" i="19"/>
  <c r="H10" i="31"/>
  <c r="J211" i="19"/>
  <c r="N7" i="19"/>
  <c r="N208" i="19" s="1"/>
  <c r="F7" i="19"/>
  <c r="F208" i="19" s="1"/>
  <c r="G30" i="36"/>
  <c r="H30" i="36" s="1"/>
  <c r="F6" i="36"/>
  <c r="F199" i="36" s="1"/>
  <c r="F255" i="33"/>
  <c r="I255" i="38"/>
  <c r="M142" i="6"/>
  <c r="N51" i="6"/>
  <c r="D223" i="19"/>
  <c r="V23" i="19"/>
  <c r="V223" i="19" s="1"/>
  <c r="H13" i="31"/>
  <c r="H215" i="31" s="1"/>
  <c r="J214" i="19"/>
  <c r="G11" i="35"/>
  <c r="H11" i="35" s="1"/>
  <c r="H40" i="21"/>
  <c r="I246" i="21" s="1"/>
  <c r="J239" i="24"/>
  <c r="C239" i="24"/>
  <c r="B239" i="24"/>
  <c r="E20" i="24"/>
  <c r="E218" i="24"/>
  <c r="F220" i="22"/>
  <c r="E17" i="21"/>
  <c r="E223" i="21" s="1"/>
  <c r="C218" i="22"/>
  <c r="I218" i="22"/>
  <c r="D218" i="22"/>
  <c r="F216" i="22"/>
  <c r="F20" i="22"/>
  <c r="P203" i="32"/>
  <c r="Q41" i="32"/>
  <c r="Q233" i="32"/>
  <c r="J41" i="32"/>
  <c r="J233" i="32"/>
  <c r="C41" i="32"/>
  <c r="C235" i="32" s="1"/>
  <c r="E233" i="32"/>
  <c r="C233" i="32"/>
  <c r="I305" i="38"/>
  <c r="J305" i="38" s="1"/>
  <c r="P217" i="32"/>
  <c r="I301" i="38"/>
  <c r="K301" i="38" s="1"/>
  <c r="P213" i="32"/>
  <c r="I295" i="38"/>
  <c r="L295" i="38" s="1"/>
  <c r="P207" i="32"/>
  <c r="V12" i="32"/>
  <c r="E205" i="27"/>
  <c r="C43" i="33"/>
  <c r="C249" i="33" s="1"/>
  <c r="G236" i="15"/>
  <c r="R53" i="6"/>
  <c r="E412" i="13"/>
  <c r="B14" i="5"/>
  <c r="I21" i="34" s="1"/>
  <c r="I14" i="5"/>
  <c r="I11" i="33" s="1"/>
  <c r="I217" i="33" s="1"/>
  <c r="B412" i="13"/>
  <c r="B403" i="13"/>
  <c r="C403" i="13"/>
  <c r="A399" i="13" s="1"/>
  <c r="C355" i="13"/>
  <c r="A345" i="13" s="1"/>
  <c r="G9" i="5"/>
  <c r="G105" i="5" s="1"/>
  <c r="J10" i="38"/>
  <c r="L10" i="38"/>
  <c r="N20" i="26"/>
  <c r="N215" i="26"/>
  <c r="L41" i="32"/>
  <c r="I222" i="22"/>
  <c r="J40" i="24"/>
  <c r="E100" i="33"/>
  <c r="E305" i="33" s="1"/>
  <c r="E62" i="37"/>
  <c r="E230" i="38"/>
  <c r="M32" i="51"/>
  <c r="M222" i="29"/>
  <c r="H20" i="22"/>
  <c r="T23" i="19"/>
  <c r="T223" i="19" s="1"/>
  <c r="I112" i="7"/>
  <c r="E149" i="13"/>
  <c r="K10" i="34"/>
  <c r="K33" i="34" s="1"/>
  <c r="K228" i="34" s="1"/>
  <c r="E89" i="13"/>
  <c r="E28" i="13"/>
  <c r="G3" i="38"/>
  <c r="E20" i="21"/>
  <c r="E123" i="38"/>
  <c r="J123" i="38" s="1"/>
  <c r="E187" i="38"/>
  <c r="G99" i="33"/>
  <c r="G304" i="33" s="1"/>
  <c r="I9" i="33"/>
  <c r="I215" i="33" s="1"/>
  <c r="I21" i="52"/>
  <c r="L21" i="52" s="1"/>
  <c r="I22" i="10"/>
  <c r="M12" i="27"/>
  <c r="M207" i="27" s="1"/>
  <c r="E207" i="27"/>
  <c r="H296" i="9"/>
  <c r="G114" i="8"/>
  <c r="C114" i="8"/>
  <c r="E12" i="8"/>
  <c r="E106" i="8" s="1"/>
  <c r="H214" i="31"/>
  <c r="J213" i="19"/>
  <c r="F8" i="31"/>
  <c r="H210" i="19"/>
  <c r="P9" i="19"/>
  <c r="P210" i="19" s="1"/>
  <c r="J7" i="19"/>
  <c r="J208" i="19" s="1"/>
  <c r="E3" i="36"/>
  <c r="B196" i="36" s="1"/>
  <c r="N32" i="20"/>
  <c r="N231" i="20" s="1"/>
  <c r="J231" i="20"/>
  <c r="J44" i="20"/>
  <c r="J243" i="20" s="1"/>
  <c r="G242" i="51"/>
  <c r="K19" i="51"/>
  <c r="K242" i="51" s="1"/>
  <c r="I182" i="38"/>
  <c r="C225" i="25"/>
  <c r="I195" i="25"/>
  <c r="B195" i="25"/>
  <c r="E180" i="38"/>
  <c r="L20" i="28"/>
  <c r="L216" i="28" s="1"/>
  <c r="F216" i="28"/>
  <c r="B244" i="50"/>
  <c r="J244" i="50"/>
  <c r="K43" i="34"/>
  <c r="K238" i="34" s="1"/>
  <c r="E167" i="38"/>
  <c r="I20" i="23"/>
  <c r="I225" i="23" s="1"/>
  <c r="E169" i="38"/>
  <c r="E20" i="23"/>
  <c r="F12" i="21"/>
  <c r="F15" i="21" s="1"/>
  <c r="F221" i="21" s="1"/>
  <c r="K214" i="23"/>
  <c r="E189" i="38"/>
  <c r="H205" i="26"/>
  <c r="E150" i="6"/>
  <c r="E12" i="28"/>
  <c r="I10" i="28"/>
  <c r="I206" i="28" s="1"/>
  <c r="P129" i="6"/>
  <c r="E10" i="28"/>
  <c r="E129" i="6"/>
  <c r="H207" i="30"/>
  <c r="I165" i="38"/>
  <c r="E12" i="22"/>
  <c r="F12" i="31"/>
  <c r="H213" i="19"/>
  <c r="P13" i="19"/>
  <c r="P213" i="19" s="1"/>
  <c r="H11" i="31"/>
  <c r="H213" i="31" s="1"/>
  <c r="J212" i="19"/>
  <c r="K8" i="25"/>
  <c r="B190" i="25" s="1"/>
  <c r="M194" i="25"/>
  <c r="F32" i="50"/>
  <c r="F229" i="50" s="1"/>
  <c r="F22" i="21"/>
  <c r="F228" i="21" s="1"/>
  <c r="K224" i="23"/>
  <c r="I11" i="28"/>
  <c r="P139" i="6"/>
  <c r="N114" i="6"/>
  <c r="L109" i="6" s="1"/>
  <c r="H9" i="28"/>
  <c r="J9" i="28" s="1"/>
  <c r="J205" i="28" s="1"/>
  <c r="H32" i="21"/>
  <c r="I238" i="21" s="1"/>
  <c r="B231" i="24"/>
  <c r="H22" i="21"/>
  <c r="I228" i="21" s="1"/>
  <c r="C221" i="24"/>
  <c r="J16" i="24"/>
  <c r="F218" i="24"/>
  <c r="B217" i="24"/>
  <c r="C217" i="24"/>
  <c r="F41" i="21"/>
  <c r="F247" i="21" s="1"/>
  <c r="C243" i="23"/>
  <c r="F38" i="21"/>
  <c r="F244" i="21" s="1"/>
  <c r="C240" i="23"/>
  <c r="K240" i="23"/>
  <c r="F30" i="21"/>
  <c r="D232" i="23"/>
  <c r="F26" i="21"/>
  <c r="F232" i="21" s="1"/>
  <c r="C228" i="23"/>
  <c r="K228" i="23"/>
  <c r="F17" i="21"/>
  <c r="E152" i="38" s="1"/>
  <c r="D219" i="23"/>
  <c r="C242" i="22"/>
  <c r="I242" i="22"/>
  <c r="I236" i="22"/>
  <c r="C236" i="22"/>
  <c r="E325" i="38"/>
  <c r="E321" i="38"/>
  <c r="N221" i="26"/>
  <c r="M22" i="51"/>
  <c r="M245" i="51" s="1"/>
  <c r="H214" i="19"/>
  <c r="F13" i="31"/>
  <c r="F10" i="31"/>
  <c r="H211" i="19"/>
  <c r="H8" i="31"/>
  <c r="J210" i="19"/>
  <c r="G20" i="37"/>
  <c r="G53" i="36"/>
  <c r="G43" i="36"/>
  <c r="H43" i="36" s="1"/>
  <c r="G35" i="36"/>
  <c r="G28" i="36"/>
  <c r="G26" i="36"/>
  <c r="G57" i="35"/>
  <c r="H57" i="35" s="1"/>
  <c r="G45" i="35"/>
  <c r="H45" i="35" s="1"/>
  <c r="G20" i="35"/>
  <c r="H20" i="35" s="1"/>
  <c r="G18" i="35"/>
  <c r="G12" i="35"/>
  <c r="G8" i="35"/>
  <c r="H8" i="35" s="1"/>
  <c r="H39" i="21"/>
  <c r="I245" i="21" s="1"/>
  <c r="C238" i="24"/>
  <c r="H34" i="21"/>
  <c r="I240" i="21" s="1"/>
  <c r="J233" i="24"/>
  <c r="D16" i="50"/>
  <c r="B213" i="50" s="1"/>
  <c r="F214" i="24"/>
  <c r="C232" i="23"/>
  <c r="F34" i="21"/>
  <c r="D236" i="23"/>
  <c r="F28" i="21"/>
  <c r="F234" i="21" s="1"/>
  <c r="C230" i="23"/>
  <c r="K230" i="23"/>
  <c r="I43" i="38"/>
  <c r="I40" i="38"/>
  <c r="J217" i="23"/>
  <c r="E40" i="21"/>
  <c r="D241" i="22"/>
  <c r="E33" i="21"/>
  <c r="E239" i="21" s="1"/>
  <c r="I234" i="22"/>
  <c r="I230" i="22"/>
  <c r="D230" i="22"/>
  <c r="P18" i="17"/>
  <c r="B215" i="17" s="1"/>
  <c r="I215" i="17"/>
  <c r="C230" i="20"/>
  <c r="K10" i="51"/>
  <c r="K233" i="51" s="1"/>
  <c r="D243" i="23"/>
  <c r="G20" i="23"/>
  <c r="G225" i="23" s="1"/>
  <c r="D242" i="22"/>
  <c r="D222" i="22"/>
  <c r="J307" i="38"/>
  <c r="P15" i="17"/>
  <c r="D295" i="38"/>
  <c r="H291" i="38"/>
  <c r="B280" i="9"/>
  <c r="G67" i="37"/>
  <c r="G36" i="37"/>
  <c r="G34" i="37"/>
  <c r="G50" i="36"/>
  <c r="G29" i="36"/>
  <c r="G27" i="36"/>
  <c r="G58" i="35"/>
  <c r="G56" i="35"/>
  <c r="H56" i="35" s="1"/>
  <c r="G54" i="35"/>
  <c r="H54" i="35" s="1"/>
  <c r="G46" i="35"/>
  <c r="G27" i="35"/>
  <c r="H27" i="35" s="1"/>
  <c r="O210" i="27"/>
  <c r="B211" i="15"/>
  <c r="D319" i="38"/>
  <c r="H315" i="38"/>
  <c r="D303" i="38"/>
  <c r="H299" i="38"/>
  <c r="H262" i="38"/>
  <c r="D242" i="38"/>
  <c r="K9" i="27"/>
  <c r="K204" i="27" s="1"/>
  <c r="G59" i="37"/>
  <c r="E215" i="28"/>
  <c r="G43" i="35"/>
  <c r="H43" i="35" s="1"/>
  <c r="C33" i="25"/>
  <c r="C215" i="25" s="1"/>
  <c r="I88" i="38"/>
  <c r="K41" i="51"/>
  <c r="K38" i="51"/>
  <c r="K259" i="51" s="1"/>
  <c r="G20" i="28"/>
  <c r="G216" i="28" s="1"/>
  <c r="D33" i="39"/>
  <c r="L25" i="26"/>
  <c r="L221" i="26" s="1"/>
  <c r="H116" i="4"/>
  <c r="K12" i="34"/>
  <c r="K207" i="34" s="1"/>
  <c r="K23" i="34"/>
  <c r="K218" i="34" s="1"/>
  <c r="I27" i="7"/>
  <c r="H49" i="9" s="1"/>
  <c r="P12" i="19"/>
  <c r="P212" i="19" s="1"/>
  <c r="H23" i="19"/>
  <c r="E33" i="39"/>
  <c r="G26" i="10" s="1"/>
  <c r="D34" i="39"/>
  <c r="E34" i="39"/>
  <c r="G27" i="10" s="1"/>
  <c r="J260" i="38"/>
  <c r="L259" i="38"/>
  <c r="J214" i="38"/>
  <c r="L213" i="38"/>
  <c r="I148" i="38"/>
  <c r="K148" i="38" s="1"/>
  <c r="K64" i="38"/>
  <c r="K63" i="38"/>
  <c r="K24" i="38"/>
  <c r="J17" i="38"/>
  <c r="K16" i="38"/>
  <c r="D251" i="33"/>
  <c r="G59" i="36"/>
  <c r="H59" i="36" s="1"/>
  <c r="G58" i="36"/>
  <c r="H58" i="36" s="1"/>
  <c r="G52" i="36"/>
  <c r="H52" i="36" s="1"/>
  <c r="G51" i="36"/>
  <c r="H51" i="36" s="1"/>
  <c r="G49" i="36"/>
  <c r="H49" i="36" s="1"/>
  <c r="G47" i="36"/>
  <c r="H47" i="36" s="1"/>
  <c r="G42" i="36"/>
  <c r="H42" i="36" s="1"/>
  <c r="G38" i="36"/>
  <c r="H38" i="36" s="1"/>
  <c r="G37" i="36"/>
  <c r="H37" i="36" s="1"/>
  <c r="G32" i="36"/>
  <c r="H32" i="36" s="1"/>
  <c r="G31" i="36"/>
  <c r="H31" i="36" s="1"/>
  <c r="I231" i="29"/>
  <c r="D103" i="33"/>
  <c r="D308" i="33" s="1"/>
  <c r="G229" i="29"/>
  <c r="K33" i="29"/>
  <c r="K229" i="29" s="1"/>
  <c r="M228" i="29"/>
  <c r="Q32" i="29"/>
  <c r="Q228" i="29" s="1"/>
  <c r="Q30" i="29"/>
  <c r="N105" i="33"/>
  <c r="Q24" i="29"/>
  <c r="Q220" i="29" s="1"/>
  <c r="M220" i="29"/>
  <c r="K11" i="29"/>
  <c r="I269" i="38" s="1"/>
  <c r="G207" i="29"/>
  <c r="E257" i="51"/>
  <c r="C25" i="34"/>
  <c r="C220" i="34" s="1"/>
  <c r="F13" i="34"/>
  <c r="F208" i="34" s="1"/>
  <c r="M236" i="51"/>
  <c r="I205" i="28"/>
  <c r="E213" i="22"/>
  <c r="I9" i="22"/>
  <c r="C213" i="22" s="1"/>
  <c r="I172" i="38"/>
  <c r="I174" i="38" s="1"/>
  <c r="D221" i="21"/>
  <c r="D18" i="34"/>
  <c r="D213" i="34" s="1"/>
  <c r="D205" i="34"/>
  <c r="E25" i="38"/>
  <c r="L25" i="38" s="1"/>
  <c r="E19" i="15"/>
  <c r="E221" i="15" s="1"/>
  <c r="E211" i="15"/>
  <c r="D30" i="50"/>
  <c r="B226" i="50"/>
  <c r="D226" i="50"/>
  <c r="B227" i="9"/>
  <c r="H227" i="9"/>
  <c r="H30" i="50"/>
  <c r="H226" i="50"/>
  <c r="Q21" i="29"/>
  <c r="M217" i="29"/>
  <c r="M11" i="27"/>
  <c r="M206" i="27" s="1"/>
  <c r="D44" i="33"/>
  <c r="D248" i="33" s="1"/>
  <c r="E206" i="27"/>
  <c r="C44" i="33"/>
  <c r="C248" i="33" s="1"/>
  <c r="G58" i="37"/>
  <c r="H58" i="37" s="1"/>
  <c r="G57" i="37"/>
  <c r="H57" i="37" s="1"/>
  <c r="G55" i="35"/>
  <c r="H55" i="35" s="1"/>
  <c r="G49" i="35"/>
  <c r="H49" i="35" s="1"/>
  <c r="G44" i="35"/>
  <c r="H44" i="35" s="1"/>
  <c r="G41" i="35"/>
  <c r="H41" i="35" s="1"/>
  <c r="M239" i="51"/>
  <c r="F14" i="34"/>
  <c r="F209" i="34" s="1"/>
  <c r="M237" i="51"/>
  <c r="E237" i="51"/>
  <c r="C14" i="34"/>
  <c r="C209" i="34" s="1"/>
  <c r="D13" i="34"/>
  <c r="D208" i="34" s="1"/>
  <c r="G236" i="51"/>
  <c r="M235" i="51"/>
  <c r="I74" i="38"/>
  <c r="I76" i="38" s="1"/>
  <c r="J76" i="38" s="1"/>
  <c r="O205" i="27"/>
  <c r="F43" i="33"/>
  <c r="F249" i="33" s="1"/>
  <c r="G245" i="51"/>
  <c r="E17" i="51"/>
  <c r="E240" i="51" s="1"/>
  <c r="J24" i="26"/>
  <c r="J220" i="26" s="1"/>
  <c r="I19" i="38"/>
  <c r="I13" i="33"/>
  <c r="I219" i="33" s="1"/>
  <c r="G104" i="5"/>
  <c r="B291" i="9"/>
  <c r="F252" i="33"/>
  <c r="E103" i="33"/>
  <c r="E308" i="33" s="1"/>
  <c r="E102" i="33"/>
  <c r="C103" i="33"/>
  <c r="E259" i="51"/>
  <c r="G65" i="36"/>
  <c r="H35" i="36"/>
  <c r="G61" i="36"/>
  <c r="G44" i="36"/>
  <c r="E122" i="38"/>
  <c r="J122" i="38" s="1"/>
  <c r="G233" i="51"/>
  <c r="K36" i="51"/>
  <c r="K257" i="51" s="1"/>
  <c r="K11" i="51"/>
  <c r="K234" i="51" s="1"/>
  <c r="G262" i="51"/>
  <c r="H220" i="50"/>
  <c r="B220" i="50"/>
  <c r="E112" i="7"/>
  <c r="B288" i="33"/>
  <c r="G69" i="37"/>
  <c r="G66" i="37"/>
  <c r="G65" i="37"/>
  <c r="G63" i="37"/>
  <c r="H63" i="37" s="1"/>
  <c r="G61" i="37"/>
  <c r="G60" i="37"/>
  <c r="G56" i="37"/>
  <c r="G55" i="37"/>
  <c r="G54" i="37"/>
  <c r="G52" i="37"/>
  <c r="G51" i="37"/>
  <c r="G50" i="37"/>
  <c r="G49" i="37"/>
  <c r="G48" i="37"/>
  <c r="G47" i="37"/>
  <c r="G46" i="37"/>
  <c r="G45" i="37"/>
  <c r="G44" i="37"/>
  <c r="G43" i="37"/>
  <c r="G42" i="37"/>
  <c r="G32" i="37"/>
  <c r="G31" i="37"/>
  <c r="G26" i="37"/>
  <c r="G25" i="37"/>
  <c r="G23" i="37"/>
  <c r="H23" i="37" s="1"/>
  <c r="G18" i="37"/>
  <c r="G17" i="37"/>
  <c r="G15" i="37"/>
  <c r="G14" i="37"/>
  <c r="G13" i="37"/>
  <c r="G12" i="37"/>
  <c r="G11" i="37"/>
  <c r="G9" i="37"/>
  <c r="G69" i="36"/>
  <c r="G67" i="36"/>
  <c r="H67" i="36" s="1"/>
  <c r="G23" i="36"/>
  <c r="G21" i="36"/>
  <c r="G18" i="36"/>
  <c r="G16" i="36"/>
  <c r="G14" i="36"/>
  <c r="G13" i="36"/>
  <c r="H13" i="36" s="1"/>
  <c r="H206" i="36" s="1"/>
  <c r="G10" i="36"/>
  <c r="G68" i="35"/>
  <c r="G67" i="35"/>
  <c r="G64" i="35"/>
  <c r="G37" i="35"/>
  <c r="G31" i="35"/>
  <c r="G25" i="35"/>
  <c r="G24" i="35"/>
  <c r="H24" i="35" s="1"/>
  <c r="H221" i="35" s="1"/>
  <c r="G17" i="35"/>
  <c r="G16" i="35"/>
  <c r="G15" i="35"/>
  <c r="K18" i="51"/>
  <c r="K241" i="51" s="1"/>
  <c r="B296" i="9"/>
  <c r="D290" i="9"/>
  <c r="B290" i="9"/>
  <c r="C22" i="34"/>
  <c r="C217" i="34" s="1"/>
  <c r="E253" i="51"/>
  <c r="K36" i="34"/>
  <c r="B287" i="33"/>
  <c r="I286" i="33"/>
  <c r="I84" i="33"/>
  <c r="G24" i="37"/>
  <c r="H24" i="37" s="1"/>
  <c r="G22" i="37"/>
  <c r="H22" i="37" s="1"/>
  <c r="G21" i="37"/>
  <c r="H21" i="37" s="1"/>
  <c r="G20" i="36"/>
  <c r="H20" i="36" s="1"/>
  <c r="G36" i="35"/>
  <c r="H36" i="35" s="1"/>
  <c r="G32" i="35"/>
  <c r="H32" i="35" s="1"/>
  <c r="G26" i="35"/>
  <c r="H26" i="35" s="1"/>
  <c r="G14" i="35"/>
  <c r="H14" i="35" s="1"/>
  <c r="G13" i="35"/>
  <c r="H13" i="35" s="1"/>
  <c r="N104" i="33"/>
  <c r="G104" i="33" s="1"/>
  <c r="G309" i="33" s="1"/>
  <c r="Q29" i="29"/>
  <c r="U29" i="29" s="1"/>
  <c r="E287" i="38" s="1"/>
  <c r="G212" i="29"/>
  <c r="K16" i="29"/>
  <c r="K14" i="29"/>
  <c r="Q11" i="29"/>
  <c r="Q207" i="29" s="1"/>
  <c r="M207" i="29"/>
  <c r="D25" i="34"/>
  <c r="D220" i="34" s="1"/>
  <c r="G257" i="51"/>
  <c r="G239" i="51"/>
  <c r="K16" i="51"/>
  <c r="K239" i="51" s="1"/>
  <c r="K15" i="51"/>
  <c r="K238" i="51" s="1"/>
  <c r="D14" i="34"/>
  <c r="D209" i="34" s="1"/>
  <c r="G237" i="51"/>
  <c r="I71" i="38"/>
  <c r="I73" i="38" s="1"/>
  <c r="K12" i="51"/>
  <c r="K235" i="51" s="1"/>
  <c r="D11" i="34"/>
  <c r="D206" i="34" s="1"/>
  <c r="K8" i="51"/>
  <c r="K231" i="51" s="1"/>
  <c r="K15" i="27"/>
  <c r="K210" i="27" s="1"/>
  <c r="G210" i="27"/>
  <c r="M10" i="27"/>
  <c r="M205" i="27" s="1"/>
  <c r="D43" i="33"/>
  <c r="D249" i="33" s="1"/>
  <c r="K10" i="27"/>
  <c r="K205" i="27" s="1"/>
  <c r="H65" i="9"/>
  <c r="F234" i="36"/>
  <c r="F237" i="37"/>
  <c r="H277" i="33"/>
  <c r="F277" i="33"/>
  <c r="G222" i="29"/>
  <c r="K26" i="29"/>
  <c r="E279" i="38"/>
  <c r="J279" i="38" s="1"/>
  <c r="E255" i="38"/>
  <c r="J255" i="38" s="1"/>
  <c r="I208" i="29"/>
  <c r="D100" i="33"/>
  <c r="D305" i="33" s="1"/>
  <c r="C21" i="34"/>
  <c r="C216" i="34" s="1"/>
  <c r="E241" i="38"/>
  <c r="E208" i="29"/>
  <c r="C214" i="25"/>
  <c r="D46" i="33"/>
  <c r="M13" i="27"/>
  <c r="M208" i="27" s="1"/>
  <c r="C42" i="33"/>
  <c r="C251" i="33" s="1"/>
  <c r="E204" i="27"/>
  <c r="D29" i="33"/>
  <c r="F28" i="26"/>
  <c r="F224" i="26" s="1"/>
  <c r="J22" i="26"/>
  <c r="J218" i="26" s="1"/>
  <c r="D59" i="44"/>
  <c r="D42" i="44"/>
  <c r="D31" i="44"/>
  <c r="D66" i="44"/>
  <c r="E120" i="7"/>
  <c r="I103" i="38"/>
  <c r="E102" i="38"/>
  <c r="G112" i="7"/>
  <c r="G64" i="37"/>
  <c r="H64" i="37" s="1"/>
  <c r="G63" i="36"/>
  <c r="H63" i="36" s="1"/>
  <c r="G60" i="36"/>
  <c r="H60" i="36" s="1"/>
  <c r="G45" i="36"/>
  <c r="H45" i="36" s="1"/>
  <c r="G34" i="36"/>
  <c r="H34" i="36" s="1"/>
  <c r="G33" i="36"/>
  <c r="H33" i="36" s="1"/>
  <c r="G59" i="35"/>
  <c r="H59" i="35" s="1"/>
  <c r="G52" i="35"/>
  <c r="H52" i="35" s="1"/>
  <c r="G51" i="35"/>
  <c r="H51" i="35" s="1"/>
  <c r="E231" i="29"/>
  <c r="C105" i="33"/>
  <c r="F105" i="33" s="1"/>
  <c r="G226" i="29"/>
  <c r="I258" i="38"/>
  <c r="O225" i="29"/>
  <c r="Q10" i="29"/>
  <c r="Q206" i="29" s="1"/>
  <c r="M206" i="29"/>
  <c r="F25" i="34"/>
  <c r="F220" i="34" s="1"/>
  <c r="M257" i="51"/>
  <c r="C212" i="25"/>
  <c r="B214" i="25" s="1"/>
  <c r="B212" i="25"/>
  <c r="K20" i="28"/>
  <c r="E21" i="28"/>
  <c r="E217" i="28" s="1"/>
  <c r="L18" i="28"/>
  <c r="L214" i="28" s="1"/>
  <c r="G18" i="28"/>
  <c r="G214" i="28" s="1"/>
  <c r="L17" i="28"/>
  <c r="M17" i="28" s="1"/>
  <c r="F213" i="28"/>
  <c r="G17" i="28"/>
  <c r="G213" i="28" s="1"/>
  <c r="F207" i="28"/>
  <c r="D32" i="33"/>
  <c r="D238" i="33" s="1"/>
  <c r="J25" i="26"/>
  <c r="J221" i="26" s="1"/>
  <c r="F221" i="26"/>
  <c r="N220" i="26"/>
  <c r="F31" i="33"/>
  <c r="F237" i="33" s="1"/>
  <c r="C31" i="33"/>
  <c r="D28" i="26"/>
  <c r="E107" i="38"/>
  <c r="D144" i="7"/>
  <c r="G144" i="7"/>
  <c r="D175" i="38"/>
  <c r="D24" i="38"/>
  <c r="H236" i="9"/>
  <c r="H34" i="9"/>
  <c r="I158" i="38"/>
  <c r="N93" i="33"/>
  <c r="H213" i="50"/>
  <c r="I137" i="38"/>
  <c r="B210" i="50"/>
  <c r="H210" i="50"/>
  <c r="H81" i="33"/>
  <c r="I138" i="38"/>
  <c r="H25" i="50"/>
  <c r="C11" i="34"/>
  <c r="G32" i="21"/>
  <c r="H238" i="21" s="1"/>
  <c r="E247" i="21"/>
  <c r="H23" i="36"/>
  <c r="H237" i="37"/>
  <c r="H16" i="35"/>
  <c r="H15" i="35"/>
  <c r="H31" i="35"/>
  <c r="H67" i="35"/>
  <c r="G10" i="35"/>
  <c r="H10" i="35" s="1"/>
  <c r="G12" i="36"/>
  <c r="E237" i="37"/>
  <c r="G19" i="35"/>
  <c r="H16" i="36"/>
  <c r="H25" i="37"/>
  <c r="H234" i="36"/>
  <c r="H25" i="35"/>
  <c r="E234" i="36"/>
  <c r="G22" i="35"/>
  <c r="D84" i="33"/>
  <c r="G21" i="51"/>
  <c r="G27" i="37"/>
  <c r="K28" i="51"/>
  <c r="K251" i="51" s="1"/>
  <c r="C13" i="34"/>
  <c r="C208" i="34" s="1"/>
  <c r="F288" i="33"/>
  <c r="G34" i="35"/>
  <c r="C200" i="34"/>
  <c r="K161" i="38"/>
  <c r="G205" i="27"/>
  <c r="E238" i="21"/>
  <c r="G9" i="35"/>
  <c r="G21" i="35"/>
  <c r="H21" i="35" s="1"/>
  <c r="G33" i="35"/>
  <c r="G9" i="36"/>
  <c r="H9" i="36" s="1"/>
  <c r="E207" i="29"/>
  <c r="M225" i="29"/>
  <c r="Q25" i="29"/>
  <c r="Q221" i="29" s="1"/>
  <c r="K291" i="38"/>
  <c r="F11" i="34"/>
  <c r="E238" i="51"/>
  <c r="E234" i="21"/>
  <c r="G235" i="51"/>
  <c r="G22" i="36"/>
  <c r="D48" i="33"/>
  <c r="G33" i="37"/>
  <c r="M212" i="29"/>
  <c r="M210" i="29"/>
  <c r="I210" i="34"/>
  <c r="H25" i="10"/>
  <c r="H267" i="9"/>
  <c r="F254" i="33"/>
  <c r="K46" i="34"/>
  <c r="L24" i="26"/>
  <c r="L220" i="26" s="1"/>
  <c r="D31" i="33"/>
  <c r="D237" i="33" s="1"/>
  <c r="G29" i="37"/>
  <c r="H29" i="37" s="1"/>
  <c r="G28" i="37"/>
  <c r="G39" i="36"/>
  <c r="G19" i="36"/>
  <c r="G35" i="35"/>
  <c r="G30" i="35"/>
  <c r="H30" i="35" s="1"/>
  <c r="C63" i="33"/>
  <c r="C268" i="33" s="1"/>
  <c r="C42" i="34"/>
  <c r="C239" i="34" s="1"/>
  <c r="J19" i="34"/>
  <c r="J214" i="34" s="1"/>
  <c r="D10" i="38"/>
  <c r="H16" i="38"/>
  <c r="D38" i="38"/>
  <c r="C31" i="44"/>
  <c r="C20" i="44"/>
  <c r="F215" i="9"/>
  <c r="D190" i="38"/>
  <c r="C241" i="20"/>
  <c r="C220" i="20"/>
  <c r="K21" i="29"/>
  <c r="K24" i="29"/>
  <c r="D22" i="38"/>
  <c r="H35" i="38"/>
  <c r="D35" i="38"/>
  <c r="B238" i="20"/>
  <c r="C233" i="20"/>
  <c r="B218" i="20"/>
  <c r="B217" i="20"/>
  <c r="B211" i="20"/>
  <c r="C211" i="20"/>
  <c r="B233" i="20"/>
  <c r="C219" i="20"/>
  <c r="B219" i="20"/>
  <c r="K25" i="29"/>
  <c r="K221" i="29" s="1"/>
  <c r="K20" i="29"/>
  <c r="I272" i="38" s="1"/>
  <c r="L272" i="38" s="1"/>
  <c r="K19" i="29"/>
  <c r="E272" i="38" s="1"/>
  <c r="K13" i="29"/>
  <c r="E270" i="38" s="1"/>
  <c r="K10" i="29"/>
  <c r="E269" i="38" s="1"/>
  <c r="F19" i="45"/>
  <c r="F24" i="45" s="1"/>
  <c r="F30" i="45" s="1"/>
  <c r="I227" i="29"/>
  <c r="E274" i="38"/>
  <c r="K32" i="29"/>
  <c r="E264" i="38"/>
  <c r="J264" i="38" s="1"/>
  <c r="E282" i="38"/>
  <c r="E258" i="38"/>
  <c r="E281" i="38"/>
  <c r="K30" i="29"/>
  <c r="E278" i="38"/>
  <c r="C104" i="33"/>
  <c r="F104" i="33" s="1"/>
  <c r="E277" i="38"/>
  <c r="K276" i="38"/>
  <c r="J276" i="38"/>
  <c r="L276" i="38"/>
  <c r="K261" i="38"/>
  <c r="K259" i="38"/>
  <c r="L215" i="38"/>
  <c r="K214" i="38"/>
  <c r="K125" i="38"/>
  <c r="L64" i="38"/>
  <c r="K17" i="38"/>
  <c r="F287" i="33"/>
  <c r="J108" i="38"/>
  <c r="D12" i="38"/>
  <c r="H20" i="38"/>
  <c r="H25" i="38"/>
  <c r="D58" i="38"/>
  <c r="D60" i="38"/>
  <c r="K108" i="38"/>
  <c r="J291" i="38"/>
  <c r="K308" i="38"/>
  <c r="K320" i="38"/>
  <c r="I121" i="38"/>
  <c r="K121" i="38" s="1"/>
  <c r="H219" i="38"/>
  <c r="J215" i="38"/>
  <c r="I154" i="38"/>
  <c r="D152" i="38"/>
  <c r="I145" i="38"/>
  <c r="K145" i="38" s="1"/>
  <c r="H133" i="38"/>
  <c r="L125" i="38"/>
  <c r="J28" i="38"/>
  <c r="L24" i="38"/>
  <c r="L309" i="38"/>
  <c r="K306" i="38"/>
  <c r="L260" i="38"/>
  <c r="J65" i="38"/>
  <c r="L63" i="38"/>
  <c r="L17" i="38"/>
  <c r="J16" i="38"/>
  <c r="K212" i="38"/>
  <c r="L65" i="38"/>
  <c r="L212" i="38"/>
  <c r="L11" i="38"/>
  <c r="K11" i="38"/>
  <c r="J125" i="38"/>
  <c r="L28" i="38"/>
  <c r="J26" i="38"/>
  <c r="H8" i="38"/>
  <c r="H10" i="38"/>
  <c r="D15" i="38"/>
  <c r="H18" i="38"/>
  <c r="H22" i="38"/>
  <c r="H27" i="38"/>
  <c r="H38" i="38"/>
  <c r="L16" i="38"/>
  <c r="J320" i="38"/>
  <c r="I70" i="38"/>
  <c r="H259" i="38"/>
  <c r="D256" i="38"/>
  <c r="H226" i="38"/>
  <c r="H197" i="38"/>
  <c r="D161" i="38"/>
  <c r="H66" i="38"/>
  <c r="H29" i="38"/>
  <c r="H206" i="38"/>
  <c r="H327" i="38"/>
  <c r="H326" i="38"/>
  <c r="H325" i="38"/>
  <c r="D325" i="38"/>
  <c r="H322" i="38"/>
  <c r="D321" i="38"/>
  <c r="H323" i="38"/>
  <c r="H321" i="38"/>
  <c r="K31" i="51"/>
  <c r="K252" i="51" s="1"/>
  <c r="E245" i="38"/>
  <c r="D21" i="34"/>
  <c r="D216" i="34" s="1"/>
  <c r="E233" i="38"/>
  <c r="G252" i="51"/>
  <c r="G32" i="51"/>
  <c r="D282" i="38"/>
  <c r="D281" i="38"/>
  <c r="D280" i="38"/>
  <c r="D279" i="38"/>
  <c r="D42" i="38"/>
  <c r="D179" i="38"/>
  <c r="H179" i="38"/>
  <c r="D274" i="38"/>
  <c r="H88" i="38"/>
  <c r="D88" i="38"/>
  <c r="H87" i="38"/>
  <c r="D87" i="38"/>
  <c r="D273" i="38"/>
  <c r="D278" i="38"/>
  <c r="D276" i="38"/>
  <c r="D277" i="38"/>
  <c r="D275" i="38"/>
  <c r="N40" i="20"/>
  <c r="N239" i="20" s="1"/>
  <c r="D272" i="38"/>
  <c r="D270" i="38"/>
  <c r="D271" i="38"/>
  <c r="D269" i="38"/>
  <c r="D142" i="38"/>
  <c r="H142" i="38"/>
  <c r="D34" i="38"/>
  <c r="D32" i="38"/>
  <c r="H34" i="38"/>
  <c r="H30" i="38"/>
  <c r="D30" i="38"/>
  <c r="H39" i="37"/>
  <c r="C146" i="13"/>
  <c r="C405" i="13" s="1"/>
  <c r="A393" i="13"/>
  <c r="E146" i="13"/>
  <c r="D8" i="38"/>
  <c r="D331" i="38"/>
  <c r="D320" i="38"/>
  <c r="H260" i="38"/>
  <c r="D233" i="38"/>
  <c r="D223" i="38"/>
  <c r="D211" i="38"/>
  <c r="H193" i="38"/>
  <c r="H185" i="38"/>
  <c r="H165" i="38"/>
  <c r="H155" i="38"/>
  <c r="H128" i="38"/>
  <c r="D126" i="38"/>
  <c r="D124" i="38"/>
  <c r="H109" i="38"/>
  <c r="H95" i="38"/>
  <c r="K65" i="38"/>
  <c r="J64" i="38"/>
  <c r="H63" i="38"/>
  <c r="J24" i="38"/>
  <c r="J212" i="38"/>
  <c r="L214" i="38"/>
  <c r="J213" i="38"/>
  <c r="J261" i="38"/>
  <c r="I79" i="38"/>
  <c r="K79" i="38" s="1"/>
  <c r="K260" i="38"/>
  <c r="H130" i="38"/>
  <c r="H107" i="38"/>
  <c r="D101" i="38"/>
  <c r="D91" i="38"/>
  <c r="H40" i="38"/>
  <c r="D27" i="38"/>
  <c r="H24" i="38"/>
  <c r="G43" i="7"/>
  <c r="O235" i="32"/>
  <c r="F218" i="26"/>
  <c r="E235" i="21"/>
  <c r="A205" i="33"/>
  <c r="G19" i="45"/>
  <c r="E19" i="45"/>
  <c r="E24" i="45" s="1"/>
  <c r="E30" i="45" s="1"/>
  <c r="G35" i="37"/>
  <c r="G10" i="37"/>
  <c r="G55" i="36"/>
  <c r="G17" i="36"/>
  <c r="G15" i="36"/>
  <c r="G65" i="35"/>
  <c r="H65" i="35" s="1"/>
  <c r="G63" i="35"/>
  <c r="B228" i="20"/>
  <c r="C226" i="20"/>
  <c r="B209" i="20"/>
  <c r="C225" i="20"/>
  <c r="L22" i="20"/>
  <c r="L221" i="20" s="1"/>
  <c r="C217" i="20"/>
  <c r="C209" i="20"/>
  <c r="B216" i="25"/>
  <c r="B193" i="25"/>
  <c r="J222" i="50"/>
  <c r="F212" i="50"/>
  <c r="B245" i="50"/>
  <c r="J37" i="50"/>
  <c r="J234" i="50" s="1"/>
  <c r="D20" i="24"/>
  <c r="G221" i="23"/>
  <c r="J20" i="23"/>
  <c r="J42" i="23" s="1"/>
  <c r="I40" i="22"/>
  <c r="H204" i="26"/>
  <c r="I119" i="5"/>
  <c r="G19" i="15"/>
  <c r="B407" i="13"/>
  <c r="B406" i="13"/>
  <c r="E80" i="13"/>
  <c r="K262" i="38"/>
  <c r="I151" i="38"/>
  <c r="I85" i="38"/>
  <c r="J63" i="38"/>
  <c r="K28" i="38"/>
  <c r="B288" i="9"/>
  <c r="B274" i="9"/>
  <c r="B241" i="20"/>
  <c r="C238" i="20"/>
  <c r="B237" i="20"/>
  <c r="B236" i="20"/>
  <c r="B229" i="20"/>
  <c r="B220" i="20"/>
  <c r="C218" i="20"/>
  <c r="C236" i="20"/>
  <c r="B230" i="20"/>
  <c r="C229" i="20"/>
  <c r="B227" i="20"/>
  <c r="C224" i="20"/>
  <c r="N22" i="20"/>
  <c r="N221" i="20" s="1"/>
  <c r="K16" i="23"/>
  <c r="F19" i="21" s="1"/>
  <c r="D39" i="32"/>
  <c r="O26" i="17"/>
  <c r="I26" i="17"/>
  <c r="I223" i="17" s="1"/>
  <c r="B329" i="13"/>
  <c r="B366" i="13"/>
  <c r="B272" i="13"/>
  <c r="K263" i="38"/>
  <c r="J259" i="38"/>
  <c r="B282" i="9"/>
  <c r="Q227" i="29"/>
  <c r="L126" i="38"/>
  <c r="J126" i="38"/>
  <c r="K126" i="38"/>
  <c r="K11" i="27"/>
  <c r="K206" i="27" s="1"/>
  <c r="G38" i="37"/>
  <c r="G46" i="36"/>
  <c r="G62" i="35"/>
  <c r="G16" i="37"/>
  <c r="G66" i="35"/>
  <c r="H66" i="35" s="1"/>
  <c r="G38" i="35"/>
  <c r="K13" i="51"/>
  <c r="D333" i="38"/>
  <c r="H317" i="38"/>
  <c r="D316" i="38"/>
  <c r="H314" i="38"/>
  <c r="D313" i="38"/>
  <c r="H309" i="38"/>
  <c r="D308" i="38"/>
  <c r="H306" i="38"/>
  <c r="D305" i="38"/>
  <c r="H301" i="38"/>
  <c r="D300" i="38"/>
  <c r="H298" i="38"/>
  <c r="D297" i="38"/>
  <c r="H293" i="38"/>
  <c r="D292" i="38"/>
  <c r="D289" i="38"/>
  <c r="D257" i="38"/>
  <c r="H252" i="38"/>
  <c r="H243" i="38"/>
  <c r="D234" i="38"/>
  <c r="D229" i="38"/>
  <c r="H223" i="38"/>
  <c r="D220" i="38"/>
  <c r="H216" i="38"/>
  <c r="H214" i="38"/>
  <c r="H213" i="38"/>
  <c r="H211" i="38"/>
  <c r="D199" i="38"/>
  <c r="H194" i="38"/>
  <c r="H190" i="38"/>
  <c r="D188" i="38"/>
  <c r="H182" i="38"/>
  <c r="H175" i="38"/>
  <c r="D172" i="38"/>
  <c r="D167" i="38"/>
  <c r="D162" i="38"/>
  <c r="H156" i="38"/>
  <c r="H147" i="38"/>
  <c r="H140" i="38"/>
  <c r="H137" i="38"/>
  <c r="D135" i="38"/>
  <c r="H101" i="38"/>
  <c r="D96" i="38"/>
  <c r="D93" i="38"/>
  <c r="H80" i="38"/>
  <c r="H78" i="38"/>
  <c r="D77" i="38"/>
  <c r="H72" i="38"/>
  <c r="H68" i="38"/>
  <c r="D67" i="38"/>
  <c r="H64" i="38"/>
  <c r="H62" i="38"/>
  <c r="D14" i="38"/>
  <c r="G68" i="37"/>
  <c r="G56" i="36"/>
  <c r="G48" i="36"/>
  <c r="G53" i="35"/>
  <c r="D15" i="34"/>
  <c r="D334" i="38"/>
  <c r="H320" i="38"/>
  <c r="H319" i="38"/>
  <c r="D315" i="38"/>
  <c r="H311" i="38"/>
  <c r="D307" i="38"/>
  <c r="H303" i="38"/>
  <c r="D299" i="38"/>
  <c r="H295" i="38"/>
  <c r="D291" i="38"/>
  <c r="D267" i="38"/>
  <c r="H264" i="38"/>
  <c r="L263" i="38"/>
  <c r="D262" i="38"/>
  <c r="D260" i="38"/>
  <c r="D258" i="38"/>
  <c r="D253" i="38"/>
  <c r="D245" i="38"/>
  <c r="H235" i="38"/>
  <c r="D230" i="38"/>
  <c r="H225" i="38"/>
  <c r="H220" i="38"/>
  <c r="D217" i="38"/>
  <c r="H212" i="38"/>
  <c r="H199" i="38"/>
  <c r="D196" i="38"/>
  <c r="H191" i="38"/>
  <c r="H188" i="38"/>
  <c r="D183" i="38"/>
  <c r="H172" i="38"/>
  <c r="D168" i="38"/>
  <c r="D164" i="38"/>
  <c r="D158" i="38"/>
  <c r="H153" i="38"/>
  <c r="H150" i="38"/>
  <c r="D146" i="38"/>
  <c r="H135" i="38"/>
  <c r="H132" i="38"/>
  <c r="D129" i="38"/>
  <c r="D127" i="38"/>
  <c r="D122" i="38"/>
  <c r="D113" i="38"/>
  <c r="D109" i="38"/>
  <c r="H102" i="38"/>
  <c r="H96" i="38"/>
  <c r="D94" i="38"/>
  <c r="I82" i="38"/>
  <c r="D66" i="38"/>
  <c r="D64" i="38"/>
  <c r="D63" i="38"/>
  <c r="H58" i="38"/>
  <c r="H39" i="38"/>
  <c r="D16" i="38"/>
  <c r="H12" i="38"/>
  <c r="G23" i="35"/>
  <c r="H23" i="35" s="1"/>
  <c r="M21" i="51"/>
  <c r="O12" i="51" s="1"/>
  <c r="M15" i="27"/>
  <c r="M210" i="27" s="1"/>
  <c r="D335" i="38"/>
  <c r="D330" i="38"/>
  <c r="H318" i="38"/>
  <c r="D317" i="38"/>
  <c r="H313" i="38"/>
  <c r="D312" i="38"/>
  <c r="H310" i="38"/>
  <c r="D309" i="38"/>
  <c r="H305" i="38"/>
  <c r="D304" i="38"/>
  <c r="H302" i="38"/>
  <c r="D301" i="38"/>
  <c r="H297" i="38"/>
  <c r="D296" i="38"/>
  <c r="H294" i="38"/>
  <c r="D293" i="38"/>
  <c r="J263" i="38"/>
  <c r="L261" i="38"/>
  <c r="H253" i="38"/>
  <c r="D246" i="38"/>
  <c r="D241" i="38"/>
  <c r="H231" i="38"/>
  <c r="D226" i="38"/>
  <c r="H222" i="38"/>
  <c r="H217" i="38"/>
  <c r="K215" i="38"/>
  <c r="K213" i="38"/>
  <c r="D213" i="38"/>
  <c r="H205" i="38"/>
  <c r="H196" i="38"/>
  <c r="D193" i="38"/>
  <c r="H189" i="38"/>
  <c r="H183" i="38"/>
  <c r="D180" i="38"/>
  <c r="D169" i="38"/>
  <c r="D165" i="38"/>
  <c r="H159" i="38"/>
  <c r="H149" i="38"/>
  <c r="H143" i="38"/>
  <c r="H139" i="38"/>
  <c r="H127" i="38"/>
  <c r="D123" i="38"/>
  <c r="H113" i="38"/>
  <c r="D107" i="38"/>
  <c r="D104" i="38"/>
  <c r="D99" i="38"/>
  <c r="H94" i="38"/>
  <c r="H81" i="38"/>
  <c r="H77" i="38"/>
  <c r="D71" i="38"/>
  <c r="D68" i="38"/>
  <c r="D62" i="38"/>
  <c r="H60" i="38"/>
  <c r="D20" i="38"/>
  <c r="M235" i="32"/>
  <c r="F234" i="50"/>
  <c r="C101" i="33"/>
  <c r="K15" i="29"/>
  <c r="G211" i="29"/>
  <c r="E35" i="51"/>
  <c r="E14" i="27"/>
  <c r="K13" i="27"/>
  <c r="K208" i="27" s="1"/>
  <c r="E208" i="27"/>
  <c r="F227" i="21"/>
  <c r="J164" i="38"/>
  <c r="K164" i="38"/>
  <c r="K307" i="38"/>
  <c r="L307" i="38"/>
  <c r="K302" i="38"/>
  <c r="L302" i="38"/>
  <c r="J299" i="38"/>
  <c r="L299" i="38"/>
  <c r="C322" i="13"/>
  <c r="B322" i="13"/>
  <c r="B304" i="9"/>
  <c r="D277" i="33"/>
  <c r="B277" i="33"/>
  <c r="C102" i="33"/>
  <c r="K214" i="29"/>
  <c r="G214" i="29"/>
  <c r="N218" i="26"/>
  <c r="F29" i="33"/>
  <c r="N28" i="26"/>
  <c r="B216" i="20"/>
  <c r="C216" i="20"/>
  <c r="H287" i="33"/>
  <c r="C46" i="33"/>
  <c r="B222" i="33"/>
  <c r="C234" i="20"/>
  <c r="D288" i="33"/>
  <c r="K37" i="34"/>
  <c r="K232" i="34" s="1"/>
  <c r="O204" i="27"/>
  <c r="F42" i="33"/>
  <c r="C76" i="44"/>
  <c r="C66" i="44"/>
  <c r="C59" i="44"/>
  <c r="C223" i="20"/>
  <c r="B223" i="20"/>
  <c r="I218" i="21"/>
  <c r="L162" i="38"/>
  <c r="J162" i="38"/>
  <c r="K309" i="38"/>
  <c r="J309" i="38"/>
  <c r="J306" i="38"/>
  <c r="L306" i="38"/>
  <c r="D285" i="33"/>
  <c r="K34" i="34"/>
  <c r="M33" i="51"/>
  <c r="E72" i="44"/>
  <c r="E32" i="25"/>
  <c r="O208" i="27"/>
  <c r="F46" i="33"/>
  <c r="B19" i="45"/>
  <c r="B225" i="20"/>
  <c r="H17" i="36"/>
  <c r="C205" i="34"/>
  <c r="C80" i="13"/>
  <c r="E232" i="51"/>
  <c r="L9" i="28"/>
  <c r="E210" i="27"/>
  <c r="D332" i="38"/>
  <c r="D318" i="38"/>
  <c r="H316" i="38"/>
  <c r="D314" i="38"/>
  <c r="H312" i="38"/>
  <c r="D310" i="38"/>
  <c r="H308" i="38"/>
  <c r="D306" i="38"/>
  <c r="H304" i="38"/>
  <c r="D302" i="38"/>
  <c r="H300" i="38"/>
  <c r="D298" i="38"/>
  <c r="H296" i="38"/>
  <c r="D294" i="38"/>
  <c r="H292" i="38"/>
  <c r="D268" i="38"/>
  <c r="D266" i="38"/>
  <c r="D264" i="38"/>
  <c r="D259" i="38"/>
  <c r="D255" i="38"/>
  <c r="D252" i="38"/>
  <c r="D244" i="38"/>
  <c r="D240" i="38"/>
  <c r="D232" i="38"/>
  <c r="D228" i="38"/>
  <c r="D225" i="38"/>
  <c r="D222" i="38"/>
  <c r="D219" i="38"/>
  <c r="D216" i="38"/>
  <c r="D214" i="38"/>
  <c r="D212" i="38"/>
  <c r="D205" i="38"/>
  <c r="D197" i="38"/>
  <c r="D194" i="38"/>
  <c r="D191" i="38"/>
  <c r="D189" i="38"/>
  <c r="D185" i="38"/>
  <c r="D182" i="38"/>
  <c r="H176" i="38"/>
  <c r="H173" i="38"/>
  <c r="H171" i="38"/>
  <c r="D166" i="38"/>
  <c r="D163" i="38"/>
  <c r="H158" i="38"/>
  <c r="D155" i="38"/>
  <c r="H152" i="38"/>
  <c r="D150" i="38"/>
  <c r="D149" i="38"/>
  <c r="H146" i="38"/>
  <c r="H144" i="38"/>
  <c r="D143" i="38"/>
  <c r="H138" i="38"/>
  <c r="H136" i="38"/>
  <c r="H131" i="38"/>
  <c r="H129" i="38"/>
  <c r="D128" i="38"/>
  <c r="H126" i="38"/>
  <c r="H104" i="38"/>
  <c r="D102" i="38"/>
  <c r="D97" i="38"/>
  <c r="D95" i="38"/>
  <c r="D92" i="38"/>
  <c r="D80" i="38"/>
  <c r="H71" i="38"/>
  <c r="H69" i="38"/>
  <c r="H67" i="38"/>
  <c r="D25" i="38"/>
  <c r="D18" i="38"/>
  <c r="K9" i="51"/>
  <c r="A408" i="13" l="1"/>
  <c r="I205" i="38"/>
  <c r="I207" i="38" s="1"/>
  <c r="G287" i="38"/>
  <c r="L287" i="38"/>
  <c r="J287" i="38"/>
  <c r="H61" i="35"/>
  <c r="B258" i="35" s="1"/>
  <c r="B227" i="29"/>
  <c r="G105" i="33"/>
  <c r="G310" i="33" s="1"/>
  <c r="G103" i="33"/>
  <c r="G308" i="33" s="1"/>
  <c r="G102" i="33"/>
  <c r="G307" i="33" s="1"/>
  <c r="U15" i="29"/>
  <c r="E284" i="38" s="1"/>
  <c r="J256" i="38"/>
  <c r="C25" i="25"/>
  <c r="B204" i="25"/>
  <c r="D213" i="50"/>
  <c r="I42" i="23"/>
  <c r="I247" i="23" s="1"/>
  <c r="G14" i="21"/>
  <c r="I14" i="21" s="1"/>
  <c r="E266" i="38"/>
  <c r="I241" i="34"/>
  <c r="G12" i="28"/>
  <c r="G208" i="28" s="1"/>
  <c r="P217" i="17"/>
  <c r="G255" i="51"/>
  <c r="H68" i="35"/>
  <c r="B265" i="35" s="1"/>
  <c r="H69" i="36"/>
  <c r="C262" i="36" s="1"/>
  <c r="H69" i="37"/>
  <c r="E265" i="37" s="1"/>
  <c r="H68" i="36"/>
  <c r="H68" i="37"/>
  <c r="C264" i="37" s="1"/>
  <c r="B263" i="35"/>
  <c r="H67" i="37"/>
  <c r="C263" i="37" s="1"/>
  <c r="H66" i="36"/>
  <c r="H66" i="37"/>
  <c r="H262" i="37" s="1"/>
  <c r="H64" i="35"/>
  <c r="H65" i="36"/>
  <c r="B258" i="36" s="1"/>
  <c r="H65" i="37"/>
  <c r="G261" i="37" s="1"/>
  <c r="H63" i="35"/>
  <c r="C260" i="35" s="1"/>
  <c r="H64" i="36"/>
  <c r="H62" i="35"/>
  <c r="C259" i="35" s="1"/>
  <c r="B257" i="35"/>
  <c r="H61" i="36"/>
  <c r="F254" i="36" s="1"/>
  <c r="H61" i="37"/>
  <c r="F257" i="37" s="1"/>
  <c r="H60" i="37"/>
  <c r="C256" i="37" s="1"/>
  <c r="H58" i="35"/>
  <c r="E255" i="35" s="1"/>
  <c r="H59" i="37"/>
  <c r="E255" i="37" s="1"/>
  <c r="F253" i="35"/>
  <c r="H57" i="36"/>
  <c r="B250" i="36" s="1"/>
  <c r="H56" i="36"/>
  <c r="C249" i="36" s="1"/>
  <c r="H56" i="37"/>
  <c r="G252" i="37" s="1"/>
  <c r="H55" i="36"/>
  <c r="C248" i="36" s="1"/>
  <c r="H55" i="37"/>
  <c r="B251" i="37" s="1"/>
  <c r="H53" i="35"/>
  <c r="E250" i="35" s="1"/>
  <c r="H54" i="37"/>
  <c r="B250" i="37" s="1"/>
  <c r="H53" i="36"/>
  <c r="B246" i="36" s="1"/>
  <c r="H52" i="37"/>
  <c r="C248" i="37" s="1"/>
  <c r="H50" i="35"/>
  <c r="F247" i="35" s="1"/>
  <c r="H51" i="37"/>
  <c r="F247" i="37" s="1"/>
  <c r="H50" i="36"/>
  <c r="B243" i="36" s="1"/>
  <c r="H50" i="37"/>
  <c r="F246" i="37" s="1"/>
  <c r="H48" i="35"/>
  <c r="E245" i="35" s="1"/>
  <c r="H49" i="37"/>
  <c r="B245" i="37" s="1"/>
  <c r="H244" i="35"/>
  <c r="H48" i="36"/>
  <c r="B241" i="36" s="1"/>
  <c r="H48" i="37"/>
  <c r="C244" i="37" s="1"/>
  <c r="H46" i="35"/>
  <c r="E243" i="35" s="1"/>
  <c r="H47" i="37"/>
  <c r="E243" i="37" s="1"/>
  <c r="G242" i="35"/>
  <c r="H46" i="36"/>
  <c r="C239" i="36" s="1"/>
  <c r="H46" i="37"/>
  <c r="E242" i="37" s="1"/>
  <c r="H45" i="37"/>
  <c r="H241" i="37" s="1"/>
  <c r="H44" i="36"/>
  <c r="C237" i="36" s="1"/>
  <c r="H44" i="37"/>
  <c r="F240" i="37" s="1"/>
  <c r="H42" i="35"/>
  <c r="G239" i="35" s="1"/>
  <c r="H43" i="37"/>
  <c r="H239" i="37" s="1"/>
  <c r="H42" i="37"/>
  <c r="B238" i="37" s="1"/>
  <c r="H38" i="35"/>
  <c r="B235" i="35" s="1"/>
  <c r="H39" i="36"/>
  <c r="C232" i="36" s="1"/>
  <c r="H37" i="35"/>
  <c r="F234" i="35" s="1"/>
  <c r="H38" i="37"/>
  <c r="F234" i="37" s="1"/>
  <c r="H37" i="37"/>
  <c r="C233" i="37" s="1"/>
  <c r="H35" i="35"/>
  <c r="E232" i="35" s="1"/>
  <c r="H36" i="36"/>
  <c r="G229" i="36" s="1"/>
  <c r="H36" i="37"/>
  <c r="G232" i="37" s="1"/>
  <c r="H34" i="35"/>
  <c r="F231" i="35" s="1"/>
  <c r="H35" i="37"/>
  <c r="B231" i="37" s="1"/>
  <c r="H33" i="35"/>
  <c r="E230" i="35" s="1"/>
  <c r="H34" i="37"/>
  <c r="G230" i="37" s="1"/>
  <c r="H33" i="37"/>
  <c r="C229" i="37" s="1"/>
  <c r="H32" i="37"/>
  <c r="F228" i="37" s="1"/>
  <c r="F227" i="35"/>
  <c r="H31" i="37"/>
  <c r="H227" i="37" s="1"/>
  <c r="H29" i="35"/>
  <c r="H30" i="37"/>
  <c r="B226" i="37" s="1"/>
  <c r="H28" i="35"/>
  <c r="B225" i="35" s="1"/>
  <c r="H29" i="36"/>
  <c r="G222" i="36" s="1"/>
  <c r="B224" i="35"/>
  <c r="H28" i="36"/>
  <c r="E221" i="36" s="1"/>
  <c r="H28" i="37"/>
  <c r="B224" i="37" s="1"/>
  <c r="H27" i="36"/>
  <c r="G220" i="36" s="1"/>
  <c r="H27" i="37"/>
  <c r="B223" i="37" s="1"/>
  <c r="H26" i="36"/>
  <c r="F219" i="36" s="1"/>
  <c r="H26" i="37"/>
  <c r="E222" i="37" s="1"/>
  <c r="C221" i="35"/>
  <c r="H25" i="36"/>
  <c r="H218" i="36" s="1"/>
  <c r="B220" i="35"/>
  <c r="H24" i="36"/>
  <c r="E217" i="36" s="1"/>
  <c r="H22" i="35"/>
  <c r="B219" i="35" s="1"/>
  <c r="C218" i="35"/>
  <c r="H22" i="36"/>
  <c r="F215" i="36" s="1"/>
  <c r="H217" i="35"/>
  <c r="H21" i="36"/>
  <c r="C214" i="36" s="1"/>
  <c r="H19" i="35"/>
  <c r="C216" i="35" s="1"/>
  <c r="H20" i="37"/>
  <c r="G216" i="37" s="1"/>
  <c r="H18" i="35"/>
  <c r="G215" i="35" s="1"/>
  <c r="H19" i="36"/>
  <c r="C212" i="36" s="1"/>
  <c r="H215" i="37"/>
  <c r="H17" i="35"/>
  <c r="E214" i="35" s="1"/>
  <c r="H18" i="36"/>
  <c r="G211" i="36" s="1"/>
  <c r="H18" i="37"/>
  <c r="G214" i="37" s="1"/>
  <c r="H17" i="37"/>
  <c r="F213" i="37" s="1"/>
  <c r="H16" i="37"/>
  <c r="G212" i="37" s="1"/>
  <c r="H15" i="36"/>
  <c r="C208" i="36" s="1"/>
  <c r="H15" i="37"/>
  <c r="H211" i="37" s="1"/>
  <c r="H14" i="36"/>
  <c r="E207" i="36" s="1"/>
  <c r="H14" i="37"/>
  <c r="C210" i="37" s="1"/>
  <c r="H12" i="35"/>
  <c r="B209" i="35" s="1"/>
  <c r="H13" i="37"/>
  <c r="E209" i="37" s="1"/>
  <c r="H12" i="36"/>
  <c r="B205" i="36" s="1"/>
  <c r="H12" i="37"/>
  <c r="G208" i="37" s="1"/>
  <c r="H11" i="36"/>
  <c r="H9" i="35"/>
  <c r="C206" i="35" s="1"/>
  <c r="H10" i="36"/>
  <c r="E203" i="36" s="1"/>
  <c r="H11" i="37"/>
  <c r="G207" i="37" s="1"/>
  <c r="H10" i="37"/>
  <c r="C206" i="37" s="1"/>
  <c r="G205" i="35"/>
  <c r="H9" i="37"/>
  <c r="G205" i="37" s="1"/>
  <c r="F103" i="33"/>
  <c r="F308" i="33" s="1"/>
  <c r="C308" i="33"/>
  <c r="B267" i="9"/>
  <c r="E257" i="35"/>
  <c r="I42" i="38"/>
  <c r="I45" i="38" s="1"/>
  <c r="J45" i="38" s="1"/>
  <c r="F222" i="24"/>
  <c r="B307" i="13"/>
  <c r="A306" i="13"/>
  <c r="C307" i="13"/>
  <c r="E307" i="13"/>
  <c r="B119" i="5"/>
  <c r="C261" i="36"/>
  <c r="C257" i="35"/>
  <c r="B257" i="37"/>
  <c r="F250" i="37"/>
  <c r="A119" i="6"/>
  <c r="L187" i="38"/>
  <c r="C381" i="13"/>
  <c r="B368" i="13" s="1"/>
  <c r="G21" i="5"/>
  <c r="D187" i="38"/>
  <c r="H187" i="38"/>
  <c r="L103" i="38"/>
  <c r="B237" i="9"/>
  <c r="F119" i="5"/>
  <c r="K187" i="38"/>
  <c r="J187" i="38"/>
  <c r="D217" i="23"/>
  <c r="H42" i="23"/>
  <c r="H247" i="23" s="1"/>
  <c r="C319" i="13"/>
  <c r="B319" i="13" s="1"/>
  <c r="F18" i="4"/>
  <c r="B369" i="13"/>
  <c r="A368" i="13"/>
  <c r="E290" i="38"/>
  <c r="D265" i="38"/>
  <c r="D290" i="38"/>
  <c r="H125" i="38"/>
  <c r="H290" i="38"/>
  <c r="H212" i="31"/>
  <c r="H211" i="31"/>
  <c r="K205" i="34"/>
  <c r="G11" i="28"/>
  <c r="B217" i="9"/>
  <c r="I98" i="38"/>
  <c r="L253" i="21"/>
  <c r="O23" i="29"/>
  <c r="O219" i="29" s="1"/>
  <c r="K215" i="29"/>
  <c r="B262" i="37"/>
  <c r="G106" i="5"/>
  <c r="F262" i="37"/>
  <c r="B216" i="37"/>
  <c r="C255" i="35"/>
  <c r="H205" i="35"/>
  <c r="E229" i="36"/>
  <c r="E208" i="28"/>
  <c r="C214" i="24"/>
  <c r="E207" i="28"/>
  <c r="B229" i="36"/>
  <c r="K22" i="51"/>
  <c r="K245" i="51" s="1"/>
  <c r="E223" i="36"/>
  <c r="H19" i="9"/>
  <c r="H226" i="9" s="1"/>
  <c r="C215" i="37"/>
  <c r="B211" i="17"/>
  <c r="B256" i="9"/>
  <c r="B218" i="17"/>
  <c r="B238" i="9"/>
  <c r="D28" i="42"/>
  <c r="G13" i="7" s="1"/>
  <c r="G110" i="7" s="1"/>
  <c r="B220" i="17"/>
  <c r="B21" i="41"/>
  <c r="A339" i="13"/>
  <c r="B345" i="13"/>
  <c r="C357" i="13"/>
  <c r="J13" i="38"/>
  <c r="K213" i="29"/>
  <c r="B217" i="36"/>
  <c r="H46" i="9"/>
  <c r="H262" i="9" s="1"/>
  <c r="B229" i="29"/>
  <c r="G221" i="36"/>
  <c r="E209" i="35"/>
  <c r="G215" i="37"/>
  <c r="F110" i="5"/>
  <c r="G217" i="36"/>
  <c r="G204" i="36"/>
  <c r="B214" i="24"/>
  <c r="M233" i="32"/>
  <c r="G250" i="37"/>
  <c r="G257" i="36"/>
  <c r="F261" i="35"/>
  <c r="V39" i="32"/>
  <c r="B239" i="20"/>
  <c r="B228" i="37"/>
  <c r="G16" i="21"/>
  <c r="I16" i="21" s="1"/>
  <c r="K222" i="21" s="1"/>
  <c r="E239" i="35"/>
  <c r="B231" i="29"/>
  <c r="H257" i="37"/>
  <c r="H217" i="36"/>
  <c r="C226" i="35"/>
  <c r="E216" i="37"/>
  <c r="B204" i="36"/>
  <c r="I235" i="32"/>
  <c r="G224" i="22"/>
  <c r="B268" i="9"/>
  <c r="F215" i="37"/>
  <c r="D213" i="22"/>
  <c r="C309" i="33"/>
  <c r="I124" i="7"/>
  <c r="G36" i="21"/>
  <c r="K36" i="21" s="1"/>
  <c r="L242" i="21" s="1"/>
  <c r="L93" i="33"/>
  <c r="G22" i="21"/>
  <c r="I22" i="21" s="1"/>
  <c r="K228" i="21" s="1"/>
  <c r="C217" i="23"/>
  <c r="M18" i="28"/>
  <c r="M214" i="28" s="1"/>
  <c r="I38" i="7"/>
  <c r="D130" i="7" s="1"/>
  <c r="E357" i="13"/>
  <c r="E42" i="44"/>
  <c r="B252" i="37"/>
  <c r="F216" i="37"/>
  <c r="H216" i="37"/>
  <c r="F243" i="35"/>
  <c r="I12" i="5"/>
  <c r="I108" i="5" s="1"/>
  <c r="G38" i="21"/>
  <c r="H244" i="21" s="1"/>
  <c r="F223" i="21"/>
  <c r="B247" i="35"/>
  <c r="F221" i="36"/>
  <c r="I322" i="38"/>
  <c r="G29" i="21"/>
  <c r="H235" i="21" s="1"/>
  <c r="G223" i="36"/>
  <c r="B221" i="17"/>
  <c r="E59" i="44"/>
  <c r="J27" i="38"/>
  <c r="E369" i="13"/>
  <c r="E220" i="36"/>
  <c r="A357" i="13"/>
  <c r="F247" i="9"/>
  <c r="L215" i="28"/>
  <c r="C310" i="33"/>
  <c r="J296" i="38"/>
  <c r="E50" i="44"/>
  <c r="C226" i="37"/>
  <c r="C221" i="36"/>
  <c r="G247" i="35"/>
  <c r="F217" i="35"/>
  <c r="C243" i="35"/>
  <c r="B217" i="35"/>
  <c r="H25" i="9"/>
  <c r="G10" i="8" s="1"/>
  <c r="G104" i="8" s="1"/>
  <c r="C85" i="33"/>
  <c r="J39" i="34" s="1"/>
  <c r="F236" i="36"/>
  <c r="D220" i="22"/>
  <c r="E31" i="44"/>
  <c r="E66" i="44"/>
  <c r="H247" i="35"/>
  <c r="E215" i="37"/>
  <c r="E98" i="38"/>
  <c r="J98" i="38" s="1"/>
  <c r="I134" i="7"/>
  <c r="F13" i="30"/>
  <c r="F204" i="30" s="1"/>
  <c r="F16" i="30"/>
  <c r="G216" i="35"/>
  <c r="F12" i="30"/>
  <c r="F203" i="30" s="1"/>
  <c r="G243" i="37"/>
  <c r="B266" i="9"/>
  <c r="C229" i="36"/>
  <c r="D45" i="34"/>
  <c r="D242" i="34" s="1"/>
  <c r="D44" i="34"/>
  <c r="D241" i="34" s="1"/>
  <c r="C383" i="13"/>
  <c r="E184" i="38"/>
  <c r="I115" i="7"/>
  <c r="B225" i="19"/>
  <c r="Q214" i="29"/>
  <c r="F22" i="30"/>
  <c r="F213" i="30" s="1"/>
  <c r="G42" i="23"/>
  <c r="G247" i="23" s="1"/>
  <c r="I155" i="38"/>
  <c r="F20" i="30"/>
  <c r="P216" i="17"/>
  <c r="F225" i="35"/>
  <c r="E257" i="36"/>
  <c r="H233" i="37"/>
  <c r="G251" i="35"/>
  <c r="D217" i="33"/>
  <c r="F10" i="30"/>
  <c r="E20" i="44"/>
  <c r="C217" i="36"/>
  <c r="B215" i="37"/>
  <c r="F217" i="36"/>
  <c r="F229" i="36"/>
  <c r="G209" i="35"/>
  <c r="F239" i="35"/>
  <c r="B223" i="36"/>
  <c r="E254" i="36"/>
  <c r="C257" i="36"/>
  <c r="F218" i="21"/>
  <c r="C209" i="35"/>
  <c r="E226" i="35"/>
  <c r="C211" i="36"/>
  <c r="F214" i="35"/>
  <c r="C247" i="35"/>
  <c r="G35" i="21"/>
  <c r="H241" i="21" s="1"/>
  <c r="F106" i="5"/>
  <c r="I266" i="38"/>
  <c r="D71" i="33"/>
  <c r="D276" i="33" s="1"/>
  <c r="G226" i="35"/>
  <c r="C24" i="45"/>
  <c r="C30" i="45" s="1"/>
  <c r="C32" i="45" s="1"/>
  <c r="C33" i="45" s="1"/>
  <c r="D216" i="30"/>
  <c r="H21" i="52"/>
  <c r="H15" i="21"/>
  <c r="I221" i="21" s="1"/>
  <c r="F14" i="30"/>
  <c r="F205" i="30" s="1"/>
  <c r="B28" i="5"/>
  <c r="H229" i="36"/>
  <c r="F218" i="36"/>
  <c r="B246" i="35"/>
  <c r="C253" i="37"/>
  <c r="I29" i="7"/>
  <c r="I126" i="7" s="1"/>
  <c r="G217" i="35"/>
  <c r="L211" i="38"/>
  <c r="J280" i="38"/>
  <c r="K211" i="38"/>
  <c r="J314" i="38"/>
  <c r="L296" i="38"/>
  <c r="K256" i="38"/>
  <c r="J265" i="38"/>
  <c r="H108" i="38"/>
  <c r="H120" i="38"/>
  <c r="K310" i="38"/>
  <c r="L271" i="38"/>
  <c r="J109" i="38"/>
  <c r="J317" i="38"/>
  <c r="K297" i="38"/>
  <c r="L294" i="38"/>
  <c r="J294" i="38"/>
  <c r="L298" i="38"/>
  <c r="D29" i="38"/>
  <c r="D237" i="38"/>
  <c r="K319" i="38"/>
  <c r="J298" i="38"/>
  <c r="D100" i="38"/>
  <c r="H209" i="38"/>
  <c r="D83" i="38"/>
  <c r="H75" i="38"/>
  <c r="D192" i="38"/>
  <c r="D198" i="38"/>
  <c r="D208" i="38"/>
  <c r="K265" i="38"/>
  <c r="J303" i="38"/>
  <c r="J148" i="38"/>
  <c r="K303" i="38"/>
  <c r="L148" i="38"/>
  <c r="L256" i="38"/>
  <c r="J300" i="38"/>
  <c r="H26" i="38"/>
  <c r="D19" i="38"/>
  <c r="H227" i="38"/>
  <c r="D181" i="38"/>
  <c r="L312" i="38"/>
  <c r="K314" i="38"/>
  <c r="L319" i="38"/>
  <c r="L300" i="38"/>
  <c r="H15" i="38"/>
  <c r="D103" i="38"/>
  <c r="D218" i="38"/>
  <c r="H254" i="38"/>
  <c r="J310" i="38"/>
  <c r="L318" i="38"/>
  <c r="K313" i="38"/>
  <c r="L313" i="38"/>
  <c r="G249" i="37"/>
  <c r="E249" i="37"/>
  <c r="C249" i="37"/>
  <c r="F249" i="37"/>
  <c r="H107" i="4"/>
  <c r="B107" i="4"/>
  <c r="E107" i="4"/>
  <c r="K292" i="38"/>
  <c r="L292" i="38"/>
  <c r="G106" i="8"/>
  <c r="C106" i="8"/>
  <c r="B106" i="8"/>
  <c r="J292" i="38"/>
  <c r="G18" i="21"/>
  <c r="K18" i="21" s="1"/>
  <c r="L224" i="21" s="1"/>
  <c r="J225" i="23"/>
  <c r="K293" i="38"/>
  <c r="G232" i="36"/>
  <c r="J293" i="38"/>
  <c r="J297" i="38"/>
  <c r="G33" i="21"/>
  <c r="I33" i="21" s="1"/>
  <c r="K239" i="21" s="1"/>
  <c r="D244" i="22"/>
  <c r="I244" i="22"/>
  <c r="Q217" i="29"/>
  <c r="U21" i="29"/>
  <c r="E286" i="38" s="1"/>
  <c r="B225" i="36"/>
  <c r="G231" i="36"/>
  <c r="B244" i="36"/>
  <c r="F251" i="36"/>
  <c r="F255" i="37"/>
  <c r="B255" i="37"/>
  <c r="E222" i="36"/>
  <c r="F263" i="37"/>
  <c r="C254" i="35"/>
  <c r="B254" i="35"/>
  <c r="C236" i="36"/>
  <c r="G236" i="36"/>
  <c r="J16" i="30"/>
  <c r="J207" i="30" s="1"/>
  <c r="D261" i="38"/>
  <c r="D236" i="38"/>
  <c r="D184" i="38"/>
  <c r="D65" i="38"/>
  <c r="D23" i="38"/>
  <c r="H103" i="38"/>
  <c r="G119" i="5"/>
  <c r="E19" i="21"/>
  <c r="E225" i="21" s="1"/>
  <c r="C220" i="22"/>
  <c r="J247" i="23"/>
  <c r="B245" i="35"/>
  <c r="G245" i="35"/>
  <c r="C245" i="35"/>
  <c r="F245" i="35"/>
  <c r="P211" i="17"/>
  <c r="E29" i="38"/>
  <c r="J29" i="38" s="1"/>
  <c r="L27" i="38"/>
  <c r="G246" i="36"/>
  <c r="G243" i="36"/>
  <c r="H246" i="37"/>
  <c r="H259" i="37"/>
  <c r="E259" i="37"/>
  <c r="B241" i="35"/>
  <c r="F252" i="35"/>
  <c r="H254" i="37"/>
  <c r="B240" i="35"/>
  <c r="C240" i="35"/>
  <c r="H249" i="37"/>
  <c r="G37" i="21"/>
  <c r="I37" i="21" s="1"/>
  <c r="K243" i="21" s="1"/>
  <c r="F104" i="5"/>
  <c r="I104" i="5"/>
  <c r="K39" i="21"/>
  <c r="L245" i="21" s="1"/>
  <c r="I39" i="21"/>
  <c r="K245" i="21" s="1"/>
  <c r="G261" i="36"/>
  <c r="B261" i="36"/>
  <c r="G257" i="35"/>
  <c r="F257" i="35"/>
  <c r="H257" i="35"/>
  <c r="C24" i="34"/>
  <c r="C219" i="34" s="1"/>
  <c r="E255" i="51"/>
  <c r="K34" i="51"/>
  <c r="K255" i="51" s="1"/>
  <c r="K48" i="38"/>
  <c r="J48" i="38"/>
  <c r="L48" i="38"/>
  <c r="E150" i="38"/>
  <c r="F219" i="21"/>
  <c r="D245" i="23"/>
  <c r="K245" i="23"/>
  <c r="K45" i="34"/>
  <c r="K240" i="34" s="1"/>
  <c r="F235" i="50"/>
  <c r="H13" i="33"/>
  <c r="J23" i="34"/>
  <c r="J218" i="34" s="1"/>
  <c r="E226" i="37"/>
  <c r="F226" i="37"/>
  <c r="H226" i="37"/>
  <c r="J57" i="38"/>
  <c r="L57" i="38"/>
  <c r="K57" i="38"/>
  <c r="J304" i="38"/>
  <c r="H245" i="35"/>
  <c r="B249" i="37"/>
  <c r="F242" i="37"/>
  <c r="E271" i="38"/>
  <c r="J271" i="38" s="1"/>
  <c r="K212" i="29"/>
  <c r="G220" i="37"/>
  <c r="F260" i="36"/>
  <c r="E260" i="36"/>
  <c r="F247" i="36"/>
  <c r="G247" i="36"/>
  <c r="J18" i="30"/>
  <c r="J209" i="30" s="1"/>
  <c r="G226" i="37"/>
  <c r="K12" i="29"/>
  <c r="U12" i="29" s="1"/>
  <c r="E283" i="38" s="1"/>
  <c r="J283" i="38" s="1"/>
  <c r="G208" i="29"/>
  <c r="D229" i="21"/>
  <c r="D45" i="21"/>
  <c r="E124" i="38" s="1"/>
  <c r="G259" i="36"/>
  <c r="H259" i="36"/>
  <c r="C259" i="36"/>
  <c r="H239" i="35"/>
  <c r="C239" i="35"/>
  <c r="E339" i="13"/>
  <c r="G284" i="38"/>
  <c r="L284" i="38"/>
  <c r="J284" i="38"/>
  <c r="B221" i="36"/>
  <c r="F211" i="36"/>
  <c r="E224" i="35"/>
  <c r="E217" i="35"/>
  <c r="F256" i="36"/>
  <c r="C216" i="37"/>
  <c r="E211" i="36"/>
  <c r="C217" i="35"/>
  <c r="Q226" i="29"/>
  <c r="U30" i="29"/>
  <c r="E288" i="38" s="1"/>
  <c r="B224" i="36"/>
  <c r="H230" i="36"/>
  <c r="C235" i="36"/>
  <c r="C242" i="36"/>
  <c r="C245" i="36"/>
  <c r="F252" i="36"/>
  <c r="B119" i="6"/>
  <c r="G67" i="38"/>
  <c r="E233" i="21"/>
  <c r="P26" i="17"/>
  <c r="P223" i="17" s="1"/>
  <c r="I54" i="38"/>
  <c r="A131" i="6"/>
  <c r="B131" i="6"/>
  <c r="G285" i="38"/>
  <c r="L285" i="38"/>
  <c r="J285" i="38"/>
  <c r="Q211" i="29"/>
  <c r="H49" i="38"/>
  <c r="H50" i="38"/>
  <c r="D49" i="38"/>
  <c r="J102" i="38"/>
  <c r="L145" i="38"/>
  <c r="K23" i="38"/>
  <c r="L280" i="38"/>
  <c r="L102" i="38"/>
  <c r="J18" i="26"/>
  <c r="J20" i="26" s="1"/>
  <c r="K279" i="38"/>
  <c r="L279" i="38"/>
  <c r="H11" i="38"/>
  <c r="H55" i="38"/>
  <c r="H56" i="38"/>
  <c r="D55" i="38"/>
  <c r="L269" i="38"/>
  <c r="G100" i="33"/>
  <c r="G305" i="33" s="1"/>
  <c r="I183" i="38"/>
  <c r="E29" i="8"/>
  <c r="B123" i="8" s="1"/>
  <c r="J23" i="38"/>
  <c r="D13" i="38"/>
  <c r="H249" i="38"/>
  <c r="H248" i="38"/>
  <c r="K221" i="23"/>
  <c r="K312" i="38"/>
  <c r="K305" i="38"/>
  <c r="C219" i="36"/>
  <c r="C218" i="36"/>
  <c r="J154" i="38"/>
  <c r="G42" i="21"/>
  <c r="K42" i="21" s="1"/>
  <c r="L248" i="21" s="1"/>
  <c r="F215" i="35"/>
  <c r="F207" i="36"/>
  <c r="G255" i="35"/>
  <c r="F246" i="35"/>
  <c r="E218" i="36"/>
  <c r="J318" i="38"/>
  <c r="C246" i="36"/>
  <c r="G219" i="36"/>
  <c r="G12" i="5"/>
  <c r="J20" i="34" s="1"/>
  <c r="J215" i="34" s="1"/>
  <c r="L316" i="38"/>
  <c r="B105" i="5"/>
  <c r="H255" i="35"/>
  <c r="F225" i="23"/>
  <c r="F42" i="23"/>
  <c r="F247" i="23" s="1"/>
  <c r="C221" i="23"/>
  <c r="B212" i="29"/>
  <c r="L44" i="20"/>
  <c r="L243" i="20" s="1"/>
  <c r="C242" i="37"/>
  <c r="H252" i="36"/>
  <c r="E246" i="36"/>
  <c r="H219" i="36"/>
  <c r="H43" i="21"/>
  <c r="I249" i="21" s="1"/>
  <c r="B259" i="37"/>
  <c r="G218" i="36"/>
  <c r="C224" i="35"/>
  <c r="B255" i="35"/>
  <c r="I67" i="38"/>
  <c r="R55" i="6"/>
  <c r="H38" i="9" s="1"/>
  <c r="I91" i="38"/>
  <c r="C231" i="20"/>
  <c r="B212" i="20"/>
  <c r="D24" i="45"/>
  <c r="D30" i="45" s="1"/>
  <c r="D32" i="45" s="1"/>
  <c r="D33" i="45" s="1"/>
  <c r="G35" i="51"/>
  <c r="K35" i="51" s="1"/>
  <c r="K256" i="51" s="1"/>
  <c r="G14" i="27"/>
  <c r="K14" i="27" s="1"/>
  <c r="K209" i="27" s="1"/>
  <c r="J295" i="38"/>
  <c r="P152" i="6"/>
  <c r="F251" i="35"/>
  <c r="L304" i="38"/>
  <c r="H243" i="20"/>
  <c r="P215" i="17"/>
  <c r="D221" i="23"/>
  <c r="G28" i="29"/>
  <c r="G224" i="29" s="1"/>
  <c r="H251" i="35"/>
  <c r="H232" i="36"/>
  <c r="G223" i="37"/>
  <c r="L76" i="38"/>
  <c r="B218" i="36"/>
  <c r="F265" i="35"/>
  <c r="F207" i="37"/>
  <c r="C70" i="33"/>
  <c r="E245" i="37"/>
  <c r="F105" i="5"/>
  <c r="C254" i="36"/>
  <c r="G224" i="36"/>
  <c r="C207" i="37"/>
  <c r="G228" i="37"/>
  <c r="B215" i="35"/>
  <c r="H229" i="35"/>
  <c r="F215" i="26"/>
  <c r="H246" i="36"/>
  <c r="B207" i="36"/>
  <c r="B236" i="36"/>
  <c r="I226" i="21"/>
  <c r="K316" i="38"/>
  <c r="B228" i="36"/>
  <c r="F43" i="21"/>
  <c r="F249" i="21" s="1"/>
  <c r="L131" i="6"/>
  <c r="K109" i="6"/>
  <c r="F223" i="36"/>
  <c r="K152" i="6"/>
  <c r="E235" i="32"/>
  <c r="V41" i="32"/>
  <c r="H12" i="4"/>
  <c r="D10" i="33" s="1"/>
  <c r="D216" i="33" s="1"/>
  <c r="M23" i="29"/>
  <c r="I24" i="45"/>
  <c r="I30" i="45" s="1"/>
  <c r="I32" i="45" s="1"/>
  <c r="I33" i="45" s="1"/>
  <c r="I12" i="25"/>
  <c r="I192" i="25"/>
  <c r="B211" i="31"/>
  <c r="K27" i="21"/>
  <c r="L233" i="21" s="1"/>
  <c r="L163" i="38"/>
  <c r="K163" i="38"/>
  <c r="L45" i="21"/>
  <c r="G251" i="21" s="1"/>
  <c r="E106" i="4"/>
  <c r="B285" i="13"/>
  <c r="B106" i="4"/>
  <c r="H106" i="4"/>
  <c r="G229" i="21"/>
  <c r="I29" i="21"/>
  <c r="B235" i="21" s="1"/>
  <c r="E179" i="38"/>
  <c r="L179" i="38" s="1"/>
  <c r="E20" i="22"/>
  <c r="E42" i="22" s="1"/>
  <c r="E246" i="22" s="1"/>
  <c r="C242" i="34"/>
  <c r="B242" i="34"/>
  <c r="C285" i="13"/>
  <c r="E285" i="13"/>
  <c r="B269" i="9"/>
  <c r="F269" i="9"/>
  <c r="E216" i="35"/>
  <c r="E224" i="37"/>
  <c r="K264" i="38"/>
  <c r="C212" i="20"/>
  <c r="F242" i="36"/>
  <c r="E213" i="37"/>
  <c r="H258" i="35"/>
  <c r="H253" i="36"/>
  <c r="C243" i="36"/>
  <c r="C255" i="37"/>
  <c r="B114" i="8"/>
  <c r="C339" i="13"/>
  <c r="B339" i="13"/>
  <c r="H208" i="35"/>
  <c r="P213" i="17"/>
  <c r="B213" i="17"/>
  <c r="A298" i="13"/>
  <c r="C298" i="13"/>
  <c r="A383" i="13"/>
  <c r="E383" i="13"/>
  <c r="I323" i="38"/>
  <c r="T235" i="32"/>
  <c r="E152" i="6"/>
  <c r="E39" i="35"/>
  <c r="E13" i="28"/>
  <c r="E209" i="28" s="1"/>
  <c r="F11" i="30"/>
  <c r="F18" i="30"/>
  <c r="F23" i="30"/>
  <c r="E275" i="38"/>
  <c r="B405" i="13"/>
  <c r="F8" i="30"/>
  <c r="F199" i="30" s="1"/>
  <c r="B213" i="29"/>
  <c r="J301" i="38"/>
  <c r="F28" i="9"/>
  <c r="B235" i="9" s="1"/>
  <c r="K315" i="38"/>
  <c r="F15" i="30"/>
  <c r="F206" i="30" s="1"/>
  <c r="G194" i="25"/>
  <c r="G232" i="35"/>
  <c r="L152" i="6"/>
  <c r="E206" i="37"/>
  <c r="F216" i="35"/>
  <c r="F233" i="37"/>
  <c r="L19" i="26"/>
  <c r="H111" i="38"/>
  <c r="K27" i="38"/>
  <c r="G53" i="6"/>
  <c r="G55" i="6" s="1"/>
  <c r="F21" i="30"/>
  <c r="F212" i="30" s="1"/>
  <c r="J311" i="38"/>
  <c r="C260" i="36"/>
  <c r="C239" i="37"/>
  <c r="C247" i="37"/>
  <c r="H260" i="36"/>
  <c r="E244" i="37"/>
  <c r="H256" i="37"/>
  <c r="H224" i="35"/>
  <c r="E247" i="37"/>
  <c r="H203" i="36"/>
  <c r="F242" i="35"/>
  <c r="F244" i="35"/>
  <c r="E240" i="37"/>
  <c r="G253" i="35"/>
  <c r="E258" i="35"/>
  <c r="C230" i="36"/>
  <c r="G245" i="36"/>
  <c r="C261" i="37"/>
  <c r="E228" i="36"/>
  <c r="C242" i="35"/>
  <c r="G260" i="36"/>
  <c r="E218" i="37"/>
  <c r="B233" i="37"/>
  <c r="H236" i="36"/>
  <c r="E234" i="35"/>
  <c r="B242" i="36"/>
  <c r="F244" i="37"/>
  <c r="C244" i="35"/>
  <c r="B240" i="37"/>
  <c r="C205" i="35"/>
  <c r="G255" i="37"/>
  <c r="F11" i="33"/>
  <c r="F217" i="33" s="1"/>
  <c r="E55" i="6"/>
  <c r="I188" i="38" s="1"/>
  <c r="C238" i="35"/>
  <c r="H246" i="35"/>
  <c r="E253" i="37"/>
  <c r="H225" i="36"/>
  <c r="E231" i="36"/>
  <c r="C240" i="36"/>
  <c r="C244" i="36"/>
  <c r="H251" i="36"/>
  <c r="H71" i="33"/>
  <c r="H276" i="33" s="1"/>
  <c r="L87" i="38"/>
  <c r="F205" i="34"/>
  <c r="G258" i="35"/>
  <c r="K131" i="6"/>
  <c r="B231" i="20"/>
  <c r="N44" i="20"/>
  <c r="N243" i="20" s="1"/>
  <c r="B298" i="13"/>
  <c r="G62" i="36"/>
  <c r="E298" i="13"/>
  <c r="E244" i="35"/>
  <c r="J20" i="30"/>
  <c r="J211" i="30" s="1"/>
  <c r="J10" i="30"/>
  <c r="J201" i="30" s="1"/>
  <c r="J15" i="30"/>
  <c r="J206" i="30" s="1"/>
  <c r="J22" i="30"/>
  <c r="J213" i="30" s="1"/>
  <c r="J19" i="30"/>
  <c r="J210" i="30" s="1"/>
  <c r="J14" i="30"/>
  <c r="J205" i="30" s="1"/>
  <c r="H216" i="30"/>
  <c r="J25" i="30"/>
  <c r="J216" i="30" s="1"/>
  <c r="J13" i="30"/>
  <c r="J204" i="30" s="1"/>
  <c r="J23" i="30"/>
  <c r="J214" i="30" s="1"/>
  <c r="J11" i="30"/>
  <c r="J202" i="30" s="1"/>
  <c r="J32" i="30"/>
  <c r="I208" i="38"/>
  <c r="I210" i="38" s="1"/>
  <c r="J12" i="30"/>
  <c r="J203" i="30" s="1"/>
  <c r="J8" i="30"/>
  <c r="J199" i="30" s="1"/>
  <c r="J21" i="30"/>
  <c r="J212" i="30" s="1"/>
  <c r="P219" i="17"/>
  <c r="B219" i="17"/>
  <c r="D214" i="26"/>
  <c r="D20" i="26"/>
  <c r="D30" i="26" s="1"/>
  <c r="D252" i="33"/>
  <c r="L317" i="38"/>
  <c r="L315" i="38"/>
  <c r="E233" i="37"/>
  <c r="H181" i="38"/>
  <c r="L109" i="38"/>
  <c r="H243" i="37"/>
  <c r="H256" i="36"/>
  <c r="E261" i="37"/>
  <c r="B254" i="37"/>
  <c r="G235" i="36"/>
  <c r="F205" i="35"/>
  <c r="L301" i="38"/>
  <c r="J34" i="50"/>
  <c r="H9" i="50" s="1"/>
  <c r="E175" i="38" s="1"/>
  <c r="G21" i="21"/>
  <c r="K21" i="21" s="1"/>
  <c r="L227" i="21" s="1"/>
  <c r="F19" i="30"/>
  <c r="F210" i="30" s="1"/>
  <c r="J79" i="38"/>
  <c r="F230" i="36"/>
  <c r="F206" i="37"/>
  <c r="H216" i="35"/>
  <c r="E223" i="37"/>
  <c r="G248" i="37"/>
  <c r="G233" i="37"/>
  <c r="K76" i="38"/>
  <c r="L122" i="38"/>
  <c r="C369" i="13"/>
  <c r="F25" i="30"/>
  <c r="F216" i="30" s="1"/>
  <c r="L255" i="38"/>
  <c r="L311" i="38"/>
  <c r="J313" i="38"/>
  <c r="K122" i="38"/>
  <c r="I273" i="38"/>
  <c r="B243" i="37"/>
  <c r="H243" i="36"/>
  <c r="H234" i="35"/>
  <c r="H214" i="35"/>
  <c r="E252" i="37"/>
  <c r="H261" i="37"/>
  <c r="H222" i="37"/>
  <c r="H255" i="37"/>
  <c r="F208" i="37"/>
  <c r="F208" i="35"/>
  <c r="G244" i="35"/>
  <c r="G31" i="21"/>
  <c r="I31" i="21" s="1"/>
  <c r="F227" i="37"/>
  <c r="I141" i="38"/>
  <c r="L10" i="28"/>
  <c r="B252" i="35"/>
  <c r="C252" i="36"/>
  <c r="E28" i="29"/>
  <c r="E34" i="29" s="1"/>
  <c r="H224" i="36"/>
  <c r="E239" i="37"/>
  <c r="B208" i="35"/>
  <c r="C225" i="35"/>
  <c r="E243" i="36"/>
  <c r="E236" i="36"/>
  <c r="B253" i="35"/>
  <c r="B244" i="37"/>
  <c r="C208" i="37"/>
  <c r="B244" i="35"/>
  <c r="H242" i="35"/>
  <c r="C228" i="36"/>
  <c r="E40" i="37"/>
  <c r="G41" i="21"/>
  <c r="K41" i="21" s="1"/>
  <c r="L247" i="21" s="1"/>
  <c r="E171" i="38"/>
  <c r="L171" i="38" s="1"/>
  <c r="H32" i="30"/>
  <c r="H43" i="30" s="1"/>
  <c r="E268" i="38"/>
  <c r="C100" i="33"/>
  <c r="C107" i="33" s="1"/>
  <c r="I27" i="21"/>
  <c r="B236" i="9"/>
  <c r="F236" i="9"/>
  <c r="B383" i="13"/>
  <c r="F99" i="9"/>
  <c r="I16" i="5"/>
  <c r="E70" i="36"/>
  <c r="I13" i="28"/>
  <c r="I209" i="28" s="1"/>
  <c r="H240" i="35"/>
  <c r="E246" i="21"/>
  <c r="G40" i="21"/>
  <c r="F240" i="21"/>
  <c r="G34" i="21"/>
  <c r="F215" i="31"/>
  <c r="M13" i="31"/>
  <c r="B215" i="31"/>
  <c r="F236" i="21"/>
  <c r="G30" i="21"/>
  <c r="E214" i="22"/>
  <c r="I10" i="22"/>
  <c r="E206" i="28"/>
  <c r="K10" i="28"/>
  <c r="K206" i="28" s="1"/>
  <c r="B141" i="6"/>
  <c r="A141" i="6"/>
  <c r="L123" i="38"/>
  <c r="K123" i="38"/>
  <c r="F34" i="50"/>
  <c r="E195" i="38"/>
  <c r="N216" i="26"/>
  <c r="F28" i="33"/>
  <c r="F234" i="33" s="1"/>
  <c r="R152" i="6"/>
  <c r="F69" i="35"/>
  <c r="F70" i="36"/>
  <c r="E42" i="24"/>
  <c r="E244" i="24" s="1"/>
  <c r="E222" i="24"/>
  <c r="P150" i="6"/>
  <c r="P55" i="6"/>
  <c r="I12" i="28"/>
  <c r="P233" i="32"/>
  <c r="P41" i="32"/>
  <c r="E11" i="42"/>
  <c r="E31" i="42"/>
  <c r="E24" i="42"/>
  <c r="O17" i="51"/>
  <c r="O240" i="51" s="1"/>
  <c r="E225" i="35"/>
  <c r="G251" i="36"/>
  <c r="K295" i="38"/>
  <c r="H223" i="36"/>
  <c r="E208" i="36"/>
  <c r="L28" i="26"/>
  <c r="L224" i="26" s="1"/>
  <c r="H223" i="37"/>
  <c r="G224" i="37"/>
  <c r="E232" i="37"/>
  <c r="K17" i="51"/>
  <c r="K240" i="51" s="1"/>
  <c r="H203" i="38"/>
  <c r="L305" i="38"/>
  <c r="H91" i="38"/>
  <c r="H19" i="38"/>
  <c r="D108" i="38"/>
  <c r="H93" i="38"/>
  <c r="D26" i="38"/>
  <c r="D119" i="38"/>
  <c r="H119" i="38"/>
  <c r="D215" i="38"/>
  <c r="H195" i="38"/>
  <c r="D254" i="38"/>
  <c r="H263" i="38"/>
  <c r="L13" i="38"/>
  <c r="B226" i="29"/>
  <c r="B260" i="36"/>
  <c r="C232" i="37"/>
  <c r="B239" i="37"/>
  <c r="C243" i="37"/>
  <c r="B247" i="37"/>
  <c r="E135" i="38"/>
  <c r="G240" i="36"/>
  <c r="F235" i="36"/>
  <c r="F225" i="36"/>
  <c r="E219" i="36"/>
  <c r="F243" i="37"/>
  <c r="H228" i="37"/>
  <c r="E215" i="35"/>
  <c r="F222" i="37"/>
  <c r="F238" i="35"/>
  <c r="H213" i="37"/>
  <c r="H210" i="37"/>
  <c r="H243" i="35"/>
  <c r="F245" i="37"/>
  <c r="F241" i="37"/>
  <c r="M152" i="6"/>
  <c r="G10" i="28"/>
  <c r="G206" i="28" s="1"/>
  <c r="C223" i="36"/>
  <c r="B245" i="36"/>
  <c r="B251" i="36"/>
  <c r="B240" i="36"/>
  <c r="F228" i="36"/>
  <c r="C231" i="36"/>
  <c r="C257" i="37"/>
  <c r="C241" i="37"/>
  <c r="H252" i="37"/>
  <c r="E149" i="38"/>
  <c r="H215" i="35"/>
  <c r="H233" i="35"/>
  <c r="F243" i="36"/>
  <c r="C222" i="37"/>
  <c r="F246" i="36"/>
  <c r="C250" i="37"/>
  <c r="B234" i="35"/>
  <c r="E253" i="35"/>
  <c r="C213" i="37"/>
  <c r="B243" i="35"/>
  <c r="E205" i="35"/>
  <c r="B205" i="35"/>
  <c r="F239" i="37"/>
  <c r="D20" i="50"/>
  <c r="I131" i="38" s="1"/>
  <c r="I134" i="38" s="1"/>
  <c r="M22" i="31"/>
  <c r="B224" i="31"/>
  <c r="F224" i="31"/>
  <c r="J10" i="28"/>
  <c r="J206" i="28" s="1"/>
  <c r="E254" i="35"/>
  <c r="G254" i="35"/>
  <c r="H254" i="35"/>
  <c r="F254" i="35"/>
  <c r="J218" i="24"/>
  <c r="H19" i="21"/>
  <c r="I207" i="28"/>
  <c r="L11" i="28"/>
  <c r="J11" i="28"/>
  <c r="J207" i="28" s="1"/>
  <c r="L119" i="6"/>
  <c r="K119" i="6"/>
  <c r="E225" i="23"/>
  <c r="E42" i="23"/>
  <c r="E247" i="23" s="1"/>
  <c r="B191" i="25"/>
  <c r="K191" i="25"/>
  <c r="G20" i="21"/>
  <c r="E226" i="21"/>
  <c r="K19" i="34"/>
  <c r="K214" i="34" s="1"/>
  <c r="K28" i="34"/>
  <c r="K223" i="34" s="1"/>
  <c r="D32" i="34"/>
  <c r="D227" i="34" s="1"/>
  <c r="D42" i="34"/>
  <c r="D239" i="34" s="1"/>
  <c r="C242" i="24"/>
  <c r="J242" i="24"/>
  <c r="A398" i="13"/>
  <c r="C399" i="13"/>
  <c r="A392" i="13"/>
  <c r="B398" i="13"/>
  <c r="B392" i="13"/>
  <c r="B399" i="13"/>
  <c r="E399" i="13"/>
  <c r="B110" i="5"/>
  <c r="I96" i="38"/>
  <c r="J235" i="32"/>
  <c r="F213" i="31"/>
  <c r="M11" i="31"/>
  <c r="B213" i="31"/>
  <c r="F49" i="9"/>
  <c r="B255" i="9" s="1"/>
  <c r="G124" i="7"/>
  <c r="E96" i="38"/>
  <c r="F7" i="4"/>
  <c r="C275" i="13"/>
  <c r="H13" i="28"/>
  <c r="N152" i="6"/>
  <c r="E70" i="37"/>
  <c r="E69" i="35"/>
  <c r="H235" i="32"/>
  <c r="I100" i="38"/>
  <c r="I99" i="38"/>
  <c r="S235" i="32"/>
  <c r="I326" i="38"/>
  <c r="K9" i="28"/>
  <c r="K205" i="28" s="1"/>
  <c r="H205" i="28"/>
  <c r="K190" i="25"/>
  <c r="K10" i="25"/>
  <c r="E181" i="38"/>
  <c r="M8" i="31"/>
  <c r="F211" i="31"/>
  <c r="H74" i="38"/>
  <c r="H9" i="38"/>
  <c r="H98" i="38"/>
  <c r="H59" i="38"/>
  <c r="D9" i="38"/>
  <c r="H92" i="38"/>
  <c r="H198" i="38"/>
  <c r="D195" i="38"/>
  <c r="H184" i="38"/>
  <c r="D238" i="38"/>
  <c r="D186" i="38"/>
  <c r="D263" i="38"/>
  <c r="D59" i="38"/>
  <c r="D17" i="38"/>
  <c r="H110" i="38"/>
  <c r="H97" i="38"/>
  <c r="H100" i="38"/>
  <c r="H224" i="38"/>
  <c r="H255" i="38"/>
  <c r="D250" i="38"/>
  <c r="D249" i="38"/>
  <c r="D227" i="38"/>
  <c r="H84" i="38"/>
  <c r="D21" i="38"/>
  <c r="H13" i="38"/>
  <c r="H17" i="38"/>
  <c r="D110" i="38"/>
  <c r="H124" i="38"/>
  <c r="H192" i="38"/>
  <c r="H258" i="38"/>
  <c r="H256" i="38"/>
  <c r="D11" i="38"/>
  <c r="H99" i="38"/>
  <c r="D28" i="38"/>
  <c r="D74" i="38"/>
  <c r="H21" i="38"/>
  <c r="H122" i="38"/>
  <c r="D224" i="38"/>
  <c r="H202" i="38"/>
  <c r="H180" i="38"/>
  <c r="H257" i="38"/>
  <c r="H23" i="38"/>
  <c r="H123" i="38"/>
  <c r="H105" i="38"/>
  <c r="H83" i="38"/>
  <c r="H28" i="38"/>
  <c r="H208" i="38"/>
  <c r="H239" i="38"/>
  <c r="H221" i="38"/>
  <c r="D221" i="38"/>
  <c r="H261" i="38"/>
  <c r="B408" i="13"/>
  <c r="E408" i="13"/>
  <c r="C408" i="13"/>
  <c r="E208" i="35"/>
  <c r="G208" i="35"/>
  <c r="B306" i="13"/>
  <c r="H225" i="35"/>
  <c r="G257" i="37"/>
  <c r="G225" i="35"/>
  <c r="F253" i="36"/>
  <c r="F223" i="37"/>
  <c r="H253" i="35"/>
  <c r="J28" i="26"/>
  <c r="J224" i="26" s="1"/>
  <c r="I110" i="5"/>
  <c r="H61" i="38"/>
  <c r="D125" i="38"/>
  <c r="H65" i="38"/>
  <c r="D61" i="38"/>
  <c r="H14" i="38"/>
  <c r="D98" i="38"/>
  <c r="D202" i="38"/>
  <c r="H218" i="38"/>
  <c r="H186" i="38"/>
  <c r="D248" i="38"/>
  <c r="H215" i="38"/>
  <c r="H265" i="38"/>
  <c r="K13" i="38"/>
  <c r="C228" i="37"/>
  <c r="B219" i="36"/>
  <c r="G239" i="37"/>
  <c r="C252" i="37"/>
  <c r="B210" i="37"/>
  <c r="M20" i="28"/>
  <c r="M216" i="28" s="1"/>
  <c r="G26" i="21"/>
  <c r="H247" i="36"/>
  <c r="F244" i="36"/>
  <c r="G228" i="36"/>
  <c r="F261" i="37"/>
  <c r="E257" i="37"/>
  <c r="G247" i="37"/>
  <c r="H208" i="37"/>
  <c r="H205" i="37"/>
  <c r="E251" i="36"/>
  <c r="E43" i="21"/>
  <c r="E249" i="21" s="1"/>
  <c r="G28" i="21"/>
  <c r="I28" i="21" s="1"/>
  <c r="B207" i="29"/>
  <c r="K21" i="34"/>
  <c r="K216" i="34" s="1"/>
  <c r="E245" i="36"/>
  <c r="E252" i="36"/>
  <c r="B261" i="37"/>
  <c r="H228" i="36"/>
  <c r="B242" i="35"/>
  <c r="F252" i="37"/>
  <c r="G17" i="21"/>
  <c r="K17" i="21" s="1"/>
  <c r="L223" i="21" s="1"/>
  <c r="C208" i="35"/>
  <c r="C215" i="35"/>
  <c r="H213" i="36"/>
  <c r="C247" i="36"/>
  <c r="C214" i="35"/>
  <c r="C253" i="35"/>
  <c r="B203" i="36"/>
  <c r="C205" i="37"/>
  <c r="G203" i="36"/>
  <c r="E205" i="37"/>
  <c r="H247" i="37"/>
  <c r="F15" i="34"/>
  <c r="F210" i="34" s="1"/>
  <c r="E242" i="35"/>
  <c r="B212" i="17"/>
  <c r="P212" i="17"/>
  <c r="F212" i="31"/>
  <c r="B212" i="31"/>
  <c r="M10" i="31"/>
  <c r="F214" i="31"/>
  <c r="B214" i="31"/>
  <c r="M12" i="31"/>
  <c r="H224" i="22"/>
  <c r="H42" i="22"/>
  <c r="H246" i="22" s="1"/>
  <c r="M253" i="51"/>
  <c r="F22" i="34"/>
  <c r="F217" i="34" s="1"/>
  <c r="G62" i="37"/>
  <c r="H62" i="37" s="1"/>
  <c r="L235" i="32"/>
  <c r="I321" i="38"/>
  <c r="Q235" i="32"/>
  <c r="I327" i="38"/>
  <c r="F42" i="22"/>
  <c r="F246" i="22" s="1"/>
  <c r="F224" i="22"/>
  <c r="H12" i="28"/>
  <c r="N55" i="6"/>
  <c r="M24" i="28" s="1"/>
  <c r="M220" i="28" s="1"/>
  <c r="N150" i="6"/>
  <c r="C207" i="25"/>
  <c r="E185" i="38"/>
  <c r="E183" i="38"/>
  <c r="B207" i="25"/>
  <c r="N235" i="32"/>
  <c r="G42" i="7"/>
  <c r="G44" i="7" s="1"/>
  <c r="H209" i="35"/>
  <c r="J20" i="24"/>
  <c r="K206" i="29"/>
  <c r="L88" i="38"/>
  <c r="K88" i="38"/>
  <c r="F224" i="35"/>
  <c r="G224" i="35"/>
  <c r="B213" i="28"/>
  <c r="G231" i="35"/>
  <c r="E231" i="35"/>
  <c r="F217" i="37"/>
  <c r="E220" i="37"/>
  <c r="G214" i="35"/>
  <c r="B222" i="37"/>
  <c r="H250" i="37"/>
  <c r="C234" i="35"/>
  <c r="B205" i="37"/>
  <c r="E250" i="37"/>
  <c r="G222" i="37"/>
  <c r="C241" i="35"/>
  <c r="G252" i="35"/>
  <c r="C254" i="37"/>
  <c r="E225" i="36"/>
  <c r="B231" i="36"/>
  <c r="G243" i="35"/>
  <c r="H245" i="37"/>
  <c r="G237" i="36"/>
  <c r="K262" i="51"/>
  <c r="C262" i="51"/>
  <c r="E240" i="35"/>
  <c r="F240" i="35"/>
  <c r="G208" i="36"/>
  <c r="F229" i="35"/>
  <c r="G218" i="37"/>
  <c r="C223" i="37"/>
  <c r="B214" i="35"/>
  <c r="G234" i="35"/>
  <c r="B213" i="37"/>
  <c r="B208" i="37"/>
  <c r="C245" i="37"/>
  <c r="B238" i="35"/>
  <c r="C246" i="35"/>
  <c r="B253" i="37"/>
  <c r="C224" i="36"/>
  <c r="B230" i="36"/>
  <c r="B235" i="36"/>
  <c r="G240" i="35"/>
  <c r="B210" i="29"/>
  <c r="I270" i="38"/>
  <c r="L270" i="38" s="1"/>
  <c r="H205" i="36"/>
  <c r="L21" i="28"/>
  <c r="L217" i="28" s="1"/>
  <c r="J25" i="38"/>
  <c r="J103" i="38"/>
  <c r="I71" i="33"/>
  <c r="E124" i="7"/>
  <c r="H223" i="19"/>
  <c r="P23" i="19"/>
  <c r="P223" i="19" s="1"/>
  <c r="L154" i="38"/>
  <c r="J73" i="38"/>
  <c r="L73" i="38"/>
  <c r="K73" i="38"/>
  <c r="E221" i="35"/>
  <c r="G221" i="35"/>
  <c r="H265" i="35"/>
  <c r="G265" i="35"/>
  <c r="H255" i="9"/>
  <c r="H55" i="9"/>
  <c r="E307" i="33"/>
  <c r="E107" i="33"/>
  <c r="E312" i="33" s="1"/>
  <c r="I159" i="38"/>
  <c r="I160" i="38" s="1"/>
  <c r="H85" i="33"/>
  <c r="R92" i="33"/>
  <c r="H227" i="50"/>
  <c r="I12" i="22"/>
  <c r="I216" i="22" s="1"/>
  <c r="E238" i="35"/>
  <c r="G238" i="35"/>
  <c r="E241" i="35"/>
  <c r="G241" i="35"/>
  <c r="F253" i="37"/>
  <c r="H253" i="37"/>
  <c r="E254" i="37"/>
  <c r="G254" i="37"/>
  <c r="I156" i="38"/>
  <c r="P92" i="33"/>
  <c r="B227" i="50"/>
  <c r="D227" i="50"/>
  <c r="E12" i="21"/>
  <c r="I213" i="22"/>
  <c r="H240" i="36"/>
  <c r="F240" i="36"/>
  <c r="H242" i="36"/>
  <c r="G242" i="36"/>
  <c r="E244" i="36"/>
  <c r="H244" i="36"/>
  <c r="G244" i="36"/>
  <c r="B250" i="35"/>
  <c r="B249" i="36"/>
  <c r="C220" i="35"/>
  <c r="C227" i="35"/>
  <c r="F230" i="35"/>
  <c r="C263" i="35"/>
  <c r="B206" i="37"/>
  <c r="E229" i="37"/>
  <c r="B264" i="37"/>
  <c r="B212" i="36"/>
  <c r="N107" i="33"/>
  <c r="E265" i="35"/>
  <c r="G262" i="37"/>
  <c r="G211" i="37"/>
  <c r="E262" i="36"/>
  <c r="G207" i="36"/>
  <c r="E207" i="37"/>
  <c r="G206" i="37"/>
  <c r="F262" i="36"/>
  <c r="E21" i="51"/>
  <c r="E244" i="51" s="1"/>
  <c r="L213" i="28"/>
  <c r="E251" i="35"/>
  <c r="G230" i="36"/>
  <c r="E230" i="36"/>
  <c r="H206" i="37"/>
  <c r="H224" i="37"/>
  <c r="F224" i="37"/>
  <c r="F238" i="37"/>
  <c r="K25" i="38"/>
  <c r="K226" i="29"/>
  <c r="E261" i="35"/>
  <c r="H261" i="35"/>
  <c r="G253" i="37"/>
  <c r="G21" i="28"/>
  <c r="G217" i="28" s="1"/>
  <c r="J121" i="38"/>
  <c r="K207" i="29"/>
  <c r="K103" i="38"/>
  <c r="L264" i="38"/>
  <c r="K154" i="38"/>
  <c r="C265" i="35"/>
  <c r="B215" i="29"/>
  <c r="E165" i="38"/>
  <c r="J165" i="38" s="1"/>
  <c r="B210" i="25"/>
  <c r="C262" i="37"/>
  <c r="K241" i="34"/>
  <c r="B242" i="37"/>
  <c r="G242" i="37"/>
  <c r="E227" i="35"/>
  <c r="H254" i="36"/>
  <c r="E240" i="36"/>
  <c r="H241" i="35"/>
  <c r="E235" i="36"/>
  <c r="F241" i="35"/>
  <c r="G229" i="37"/>
  <c r="E262" i="37"/>
  <c r="E242" i="36"/>
  <c r="H238" i="35"/>
  <c r="F221" i="35"/>
  <c r="F203" i="36"/>
  <c r="H207" i="36"/>
  <c r="F211" i="37"/>
  <c r="H207" i="37"/>
  <c r="G240" i="37"/>
  <c r="E246" i="35"/>
  <c r="F249" i="35"/>
  <c r="H252" i="35"/>
  <c r="C252" i="35"/>
  <c r="G225" i="36"/>
  <c r="C225" i="36"/>
  <c r="B239" i="36"/>
  <c r="F245" i="36"/>
  <c r="H245" i="36"/>
  <c r="C251" i="36"/>
  <c r="G252" i="36"/>
  <c r="B252" i="36"/>
  <c r="E253" i="36"/>
  <c r="G254" i="36"/>
  <c r="B254" i="36"/>
  <c r="E256" i="36"/>
  <c r="C258" i="36"/>
  <c r="E216" i="22"/>
  <c r="G259" i="37"/>
  <c r="C259" i="37"/>
  <c r="E224" i="36"/>
  <c r="H231" i="36"/>
  <c r="F231" i="36"/>
  <c r="B262" i="36"/>
  <c r="G262" i="36"/>
  <c r="F254" i="37"/>
  <c r="B207" i="37"/>
  <c r="H242" i="37"/>
  <c r="C15" i="34"/>
  <c r="C210" i="34" s="1"/>
  <c r="B216" i="35"/>
  <c r="H227" i="35"/>
  <c r="B230" i="35"/>
  <c r="B231" i="35"/>
  <c r="C224" i="37"/>
  <c r="B229" i="37"/>
  <c r="E247" i="36"/>
  <c r="B247" i="36"/>
  <c r="B211" i="36"/>
  <c r="E246" i="37"/>
  <c r="H244" i="37"/>
  <c r="G244" i="37"/>
  <c r="B221" i="35"/>
  <c r="C207" i="36"/>
  <c r="C203" i="36"/>
  <c r="C240" i="37"/>
  <c r="F259" i="37"/>
  <c r="G213" i="37"/>
  <c r="E241" i="37"/>
  <c r="H211" i="36"/>
  <c r="G246" i="35"/>
  <c r="E252" i="35"/>
  <c r="F224" i="36"/>
  <c r="H235" i="36"/>
  <c r="E208" i="37"/>
  <c r="E210" i="37"/>
  <c r="H240" i="37"/>
  <c r="F310" i="33"/>
  <c r="C210" i="36"/>
  <c r="B210" i="36"/>
  <c r="B262" i="35"/>
  <c r="C262" i="35"/>
  <c r="F225" i="37"/>
  <c r="H225" i="37"/>
  <c r="F206" i="34"/>
  <c r="G202" i="36"/>
  <c r="E202" i="36"/>
  <c r="I10" i="51"/>
  <c r="I233" i="51" s="1"/>
  <c r="I12" i="51"/>
  <c r="I235" i="51" s="1"/>
  <c r="G244" i="51"/>
  <c r="I9" i="51"/>
  <c r="I232" i="51" s="1"/>
  <c r="I11" i="51"/>
  <c r="I234" i="51" s="1"/>
  <c r="I16" i="51"/>
  <c r="I239" i="51" s="1"/>
  <c r="I17" i="51"/>
  <c r="I240" i="51" s="1"/>
  <c r="I13" i="51"/>
  <c r="I236" i="51" s="1"/>
  <c r="I21" i="51"/>
  <c r="I244" i="51" s="1"/>
  <c r="I14" i="51"/>
  <c r="I237" i="51" s="1"/>
  <c r="G23" i="51"/>
  <c r="I18" i="51"/>
  <c r="I241" i="51" s="1"/>
  <c r="I15" i="51"/>
  <c r="I238" i="51" s="1"/>
  <c r="I8" i="51"/>
  <c r="I231" i="51" s="1"/>
  <c r="I19" i="51"/>
  <c r="I242" i="51" s="1"/>
  <c r="D94" i="33"/>
  <c r="D299" i="33" s="1"/>
  <c r="D87" i="33"/>
  <c r="D289" i="33"/>
  <c r="C221" i="37"/>
  <c r="B221" i="37"/>
  <c r="H221" i="37"/>
  <c r="E221" i="37"/>
  <c r="G221" i="37"/>
  <c r="F221" i="37"/>
  <c r="H207" i="35"/>
  <c r="F207" i="35"/>
  <c r="B264" i="35"/>
  <c r="C264" i="35"/>
  <c r="E264" i="35"/>
  <c r="G264" i="35"/>
  <c r="H264" i="35"/>
  <c r="F264" i="35"/>
  <c r="B212" i="35"/>
  <c r="C212" i="35"/>
  <c r="F212" i="35"/>
  <c r="E212" i="35"/>
  <c r="H212" i="35"/>
  <c r="G212" i="35"/>
  <c r="C216" i="36"/>
  <c r="B216" i="36"/>
  <c r="H216" i="36"/>
  <c r="F216" i="36"/>
  <c r="G216" i="36"/>
  <c r="E216" i="36"/>
  <c r="H222" i="50"/>
  <c r="H37" i="50"/>
  <c r="H234" i="50" s="1"/>
  <c r="R93" i="33"/>
  <c r="H32" i="50"/>
  <c r="F286" i="33"/>
  <c r="H286" i="33"/>
  <c r="D224" i="26"/>
  <c r="J88" i="38"/>
  <c r="B248" i="35"/>
  <c r="C248" i="35"/>
  <c r="G248" i="35"/>
  <c r="F248" i="35"/>
  <c r="H248" i="35"/>
  <c r="E248" i="35"/>
  <c r="B256" i="35"/>
  <c r="C256" i="35"/>
  <c r="E256" i="35"/>
  <c r="G256" i="35"/>
  <c r="H256" i="35"/>
  <c r="F256" i="35"/>
  <c r="C226" i="36"/>
  <c r="B226" i="36"/>
  <c r="F226" i="36"/>
  <c r="E226" i="36"/>
  <c r="H226" i="36"/>
  <c r="G226" i="36"/>
  <c r="G238" i="36"/>
  <c r="C238" i="36"/>
  <c r="B238" i="36"/>
  <c r="F238" i="36"/>
  <c r="E238" i="36"/>
  <c r="H238" i="36"/>
  <c r="C260" i="37"/>
  <c r="B260" i="37"/>
  <c r="G260" i="37"/>
  <c r="F260" i="37"/>
  <c r="H260" i="37"/>
  <c r="E260" i="37"/>
  <c r="K222" i="29"/>
  <c r="B222" i="29"/>
  <c r="H272" i="9"/>
  <c r="G19" i="8"/>
  <c r="Q225" i="29"/>
  <c r="B225" i="29"/>
  <c r="B210" i="35"/>
  <c r="C210" i="35"/>
  <c r="E210" i="35"/>
  <c r="G210" i="35"/>
  <c r="H210" i="35"/>
  <c r="F210" i="35"/>
  <c r="B229" i="35"/>
  <c r="C229" i="35"/>
  <c r="C218" i="37"/>
  <c r="B218" i="37"/>
  <c r="C220" i="37"/>
  <c r="B220" i="37"/>
  <c r="I87" i="33"/>
  <c r="I94" i="33"/>
  <c r="I299" i="33" s="1"/>
  <c r="I289" i="33"/>
  <c r="B251" i="35"/>
  <c r="C251" i="35"/>
  <c r="J87" i="38"/>
  <c r="D254" i="33"/>
  <c r="H206" i="35"/>
  <c r="C219" i="37"/>
  <c r="B219" i="37"/>
  <c r="F219" i="37"/>
  <c r="E219" i="37"/>
  <c r="H219" i="37"/>
  <c r="G219" i="37"/>
  <c r="B222" i="35"/>
  <c r="C222" i="35"/>
  <c r="F222" i="35"/>
  <c r="H222" i="35"/>
  <c r="G222" i="35"/>
  <c r="E222" i="35"/>
  <c r="C209" i="36"/>
  <c r="B209" i="36"/>
  <c r="H209" i="36"/>
  <c r="F209" i="36"/>
  <c r="E209" i="36"/>
  <c r="G209" i="36"/>
  <c r="G205" i="36"/>
  <c r="E205" i="36"/>
  <c r="B228" i="35"/>
  <c r="C228" i="35"/>
  <c r="H228" i="35"/>
  <c r="E228" i="35"/>
  <c r="F228" i="35"/>
  <c r="G228" i="35"/>
  <c r="B213" i="35"/>
  <c r="C213" i="35"/>
  <c r="G213" i="35"/>
  <c r="F213" i="35"/>
  <c r="H213" i="35"/>
  <c r="E213" i="35"/>
  <c r="E206" i="36"/>
  <c r="C206" i="36"/>
  <c r="B206" i="36"/>
  <c r="F206" i="36"/>
  <c r="G206" i="36"/>
  <c r="K32" i="21"/>
  <c r="L238" i="21" s="1"/>
  <c r="I32" i="21"/>
  <c r="C206" i="34"/>
  <c r="G11" i="8"/>
  <c r="G105" i="8" s="1"/>
  <c r="H241" i="9"/>
  <c r="J107" i="38"/>
  <c r="L107" i="38"/>
  <c r="K107" i="38"/>
  <c r="C237" i="33"/>
  <c r="L206" i="28"/>
  <c r="G207" i="28"/>
  <c r="K216" i="28"/>
  <c r="K21" i="28"/>
  <c r="K217" i="28" s="1"/>
  <c r="H249" i="35"/>
  <c r="B249" i="35"/>
  <c r="C249" i="35"/>
  <c r="E249" i="35"/>
  <c r="G249" i="35"/>
  <c r="C227" i="36"/>
  <c r="B227" i="36"/>
  <c r="E227" i="36"/>
  <c r="G227" i="36"/>
  <c r="F227" i="36"/>
  <c r="H227" i="36"/>
  <c r="C253" i="36"/>
  <c r="B253" i="36"/>
  <c r="C256" i="36"/>
  <c r="B256" i="36"/>
  <c r="D253" i="33"/>
  <c r="K210" i="29"/>
  <c r="B211" i="35"/>
  <c r="C211" i="35"/>
  <c r="F211" i="35"/>
  <c r="G211" i="35"/>
  <c r="E211" i="35"/>
  <c r="H211" i="35"/>
  <c r="B223" i="35"/>
  <c r="C223" i="35"/>
  <c r="H223" i="35"/>
  <c r="G223" i="35"/>
  <c r="F223" i="35"/>
  <c r="E223" i="35"/>
  <c r="B233" i="35"/>
  <c r="C233" i="35"/>
  <c r="E233" i="35"/>
  <c r="F233" i="35"/>
  <c r="G233" i="35"/>
  <c r="C213" i="36"/>
  <c r="B213" i="36"/>
  <c r="E213" i="36"/>
  <c r="G213" i="36"/>
  <c r="F213" i="36"/>
  <c r="G217" i="37"/>
  <c r="C217" i="37"/>
  <c r="B217" i="37"/>
  <c r="E217" i="37"/>
  <c r="H217" i="37"/>
  <c r="K231" i="34"/>
  <c r="I231" i="34"/>
  <c r="B260" i="35"/>
  <c r="C212" i="37"/>
  <c r="H215" i="36"/>
  <c r="F218" i="35"/>
  <c r="E225" i="37"/>
  <c r="H202" i="36"/>
  <c r="G207" i="35"/>
  <c r="F232" i="35"/>
  <c r="B232" i="36"/>
  <c r="B248" i="36"/>
  <c r="C207" i="35"/>
  <c r="H218" i="35"/>
  <c r="B218" i="35"/>
  <c r="B202" i="36"/>
  <c r="B208" i="36"/>
  <c r="E215" i="36"/>
  <c r="B215" i="36"/>
  <c r="C225" i="37"/>
  <c r="C231" i="37"/>
  <c r="B232" i="35"/>
  <c r="H232" i="35"/>
  <c r="F218" i="37"/>
  <c r="H218" i="37"/>
  <c r="H220" i="37"/>
  <c r="F220" i="37"/>
  <c r="B206" i="29"/>
  <c r="F208" i="36"/>
  <c r="H208" i="36"/>
  <c r="E232" i="36"/>
  <c r="F232" i="36"/>
  <c r="G253" i="36"/>
  <c r="G256" i="36"/>
  <c r="E229" i="35"/>
  <c r="G229" i="35"/>
  <c r="L121" i="38"/>
  <c r="K102" i="38"/>
  <c r="K255" i="38"/>
  <c r="B221" i="29"/>
  <c r="B212" i="37"/>
  <c r="G225" i="37"/>
  <c r="H230" i="35"/>
  <c r="G218" i="35"/>
  <c r="E219" i="35"/>
  <c r="F202" i="36"/>
  <c r="F205" i="36"/>
  <c r="E206" i="35"/>
  <c r="E207" i="35"/>
  <c r="D107" i="33"/>
  <c r="D312" i="33" s="1"/>
  <c r="C250" i="35"/>
  <c r="B206" i="35"/>
  <c r="B207" i="35"/>
  <c r="E218" i="35"/>
  <c r="G227" i="35"/>
  <c r="B227" i="35"/>
  <c r="G230" i="35"/>
  <c r="C230" i="35"/>
  <c r="H231" i="35"/>
  <c r="C231" i="35"/>
  <c r="C202" i="36"/>
  <c r="C205" i="36"/>
  <c r="G215" i="36"/>
  <c r="C215" i="36"/>
  <c r="B225" i="37"/>
  <c r="H229" i="37"/>
  <c r="F229" i="37"/>
  <c r="C232" i="35"/>
  <c r="B215" i="28"/>
  <c r="B234" i="37"/>
  <c r="K217" i="29"/>
  <c r="B217" i="29"/>
  <c r="K220" i="29"/>
  <c r="B220" i="29"/>
  <c r="K272" i="38"/>
  <c r="B216" i="29"/>
  <c r="K216" i="29"/>
  <c r="K209" i="29"/>
  <c r="B209" i="29"/>
  <c r="K281" i="38"/>
  <c r="L281" i="38"/>
  <c r="J281" i="38"/>
  <c r="K282" i="38"/>
  <c r="L282" i="38"/>
  <c r="J282" i="38"/>
  <c r="K228" i="29"/>
  <c r="B228" i="29"/>
  <c r="L258" i="38"/>
  <c r="J258" i="38"/>
  <c r="K258" i="38"/>
  <c r="K274" i="38"/>
  <c r="J274" i="38"/>
  <c r="L274" i="38"/>
  <c r="K278" i="38"/>
  <c r="J278" i="38"/>
  <c r="L278" i="38"/>
  <c r="K277" i="38"/>
  <c r="L277" i="38"/>
  <c r="J277" i="38"/>
  <c r="J272" i="38"/>
  <c r="C235" i="35"/>
  <c r="B235" i="37"/>
  <c r="C235" i="37"/>
  <c r="J145" i="38"/>
  <c r="L70" i="38"/>
  <c r="J70" i="38"/>
  <c r="K70" i="38"/>
  <c r="D22" i="34"/>
  <c r="D217" i="34" s="1"/>
  <c r="G253" i="51"/>
  <c r="K32" i="51"/>
  <c r="K253" i="51" s="1"/>
  <c r="F201" i="30"/>
  <c r="C239" i="20"/>
  <c r="J269" i="38"/>
  <c r="K269" i="38"/>
  <c r="F235" i="37"/>
  <c r="H235" i="37"/>
  <c r="G235" i="37"/>
  <c r="E235" i="37"/>
  <c r="E405" i="13"/>
  <c r="E346" i="13" s="1"/>
  <c r="C21" i="41"/>
  <c r="L79" i="38"/>
  <c r="O223" i="17"/>
  <c r="F58" i="9"/>
  <c r="D41" i="32"/>
  <c r="D235" i="32" s="1"/>
  <c r="D233" i="32"/>
  <c r="J85" i="38"/>
  <c r="L85" i="38"/>
  <c r="K85" i="38"/>
  <c r="D42" i="24"/>
  <c r="D222" i="24"/>
  <c r="B221" i="20"/>
  <c r="C221" i="20"/>
  <c r="E260" i="35"/>
  <c r="G260" i="35"/>
  <c r="H260" i="35"/>
  <c r="F260" i="35"/>
  <c r="F248" i="36"/>
  <c r="E248" i="36"/>
  <c r="G248" i="36"/>
  <c r="H248" i="36"/>
  <c r="G231" i="37"/>
  <c r="F231" i="37"/>
  <c r="H231" i="37"/>
  <c r="E231" i="37"/>
  <c r="G24" i="45"/>
  <c r="G30" i="45" s="1"/>
  <c r="G32" i="45" s="1"/>
  <c r="G33" i="45" s="1"/>
  <c r="I23" i="29"/>
  <c r="K23" i="29" s="1"/>
  <c r="K219" i="29" s="1"/>
  <c r="D235" i="33"/>
  <c r="D140" i="7"/>
  <c r="G140" i="7"/>
  <c r="C214" i="28"/>
  <c r="F225" i="21"/>
  <c r="F23" i="21"/>
  <c r="E337" i="13"/>
  <c r="H20" i="4"/>
  <c r="G221" i="15"/>
  <c r="I53" i="6"/>
  <c r="K20" i="23"/>
  <c r="D225" i="23" s="1"/>
  <c r="E32" i="45"/>
  <c r="E26" i="51"/>
  <c r="E8" i="27"/>
  <c r="E18" i="27" s="1"/>
  <c r="F309" i="33"/>
  <c r="B309" i="33"/>
  <c r="M23" i="51"/>
  <c r="M244" i="51"/>
  <c r="O15" i="51"/>
  <c r="O19" i="51"/>
  <c r="O10" i="51"/>
  <c r="O21" i="51"/>
  <c r="O244" i="51" s="1"/>
  <c r="O11" i="51"/>
  <c r="O8" i="51"/>
  <c r="O16" i="51"/>
  <c r="O18" i="51"/>
  <c r="O9" i="51"/>
  <c r="O232" i="51" s="1"/>
  <c r="O14" i="51"/>
  <c r="O13" i="51"/>
  <c r="O236" i="51" s="1"/>
  <c r="D210" i="34"/>
  <c r="D16" i="34"/>
  <c r="J106" i="38"/>
  <c r="K106" i="38"/>
  <c r="G235" i="35"/>
  <c r="F235" i="35"/>
  <c r="E235" i="35"/>
  <c r="H235" i="35"/>
  <c r="F262" i="35"/>
  <c r="E262" i="35"/>
  <c r="G262" i="35"/>
  <c r="E220" i="35"/>
  <c r="F239" i="36"/>
  <c r="F264" i="37"/>
  <c r="J82" i="38"/>
  <c r="K82" i="38"/>
  <c r="L82" i="38"/>
  <c r="G249" i="36"/>
  <c r="E249" i="36"/>
  <c r="F249" i="36"/>
  <c r="H249" i="36"/>
  <c r="K236" i="51"/>
  <c r="E259" i="35"/>
  <c r="C213" i="28"/>
  <c r="M213" i="28"/>
  <c r="G220" i="35"/>
  <c r="E239" i="36"/>
  <c r="H264" i="37"/>
  <c r="F241" i="36"/>
  <c r="H212" i="37"/>
  <c r="E212" i="37"/>
  <c r="F212" i="37"/>
  <c r="F220" i="35"/>
  <c r="G239" i="36"/>
  <c r="E264" i="37"/>
  <c r="H250" i="35"/>
  <c r="G250" i="35"/>
  <c r="F250" i="35"/>
  <c r="H263" i="35"/>
  <c r="E263" i="35"/>
  <c r="G263" i="35"/>
  <c r="F263" i="35"/>
  <c r="H262" i="35"/>
  <c r="H220" i="35"/>
  <c r="H239" i="36"/>
  <c r="G264" i="37"/>
  <c r="O8" i="27"/>
  <c r="M26" i="51"/>
  <c r="K32" i="45"/>
  <c r="K33" i="45" s="1"/>
  <c r="I38" i="38"/>
  <c r="I41" i="38" s="1"/>
  <c r="C253" i="33"/>
  <c r="N224" i="26"/>
  <c r="N30" i="26"/>
  <c r="E256" i="51"/>
  <c r="C26" i="34"/>
  <c r="K232" i="51"/>
  <c r="C337" i="13"/>
  <c r="F20" i="4"/>
  <c r="C23" i="29"/>
  <c r="B24" i="45"/>
  <c r="F253" i="33"/>
  <c r="M34" i="51"/>
  <c r="F23" i="34"/>
  <c r="F218" i="34" s="1"/>
  <c r="E250" i="38"/>
  <c r="M254" i="51"/>
  <c r="E238" i="38"/>
  <c r="K229" i="34"/>
  <c r="K38" i="34"/>
  <c r="C47" i="33"/>
  <c r="E209" i="27"/>
  <c r="F101" i="33"/>
  <c r="F306" i="33" s="1"/>
  <c r="C306" i="33"/>
  <c r="G26" i="51"/>
  <c r="F32" i="45"/>
  <c r="F33" i="45" s="1"/>
  <c r="G8" i="27"/>
  <c r="E205" i="38" s="1"/>
  <c r="O235" i="51"/>
  <c r="O14" i="27"/>
  <c r="M35" i="51"/>
  <c r="F251" i="33"/>
  <c r="F211" i="30"/>
  <c r="K211" i="29"/>
  <c r="B211" i="29"/>
  <c r="F200" i="30"/>
  <c r="B200" i="30"/>
  <c r="I232" i="34"/>
  <c r="L205" i="28"/>
  <c r="F210" i="36"/>
  <c r="E210" i="36"/>
  <c r="H210" i="36"/>
  <c r="G210" i="36"/>
  <c r="E33" i="25"/>
  <c r="E214" i="25"/>
  <c r="F235" i="33"/>
  <c r="C307" i="33"/>
  <c r="F102" i="33"/>
  <c r="F307" i="33" s="1"/>
  <c r="G196" i="25"/>
  <c r="B214" i="29"/>
  <c r="H220" i="21" l="1"/>
  <c r="B241" i="37"/>
  <c r="M14" i="27"/>
  <c r="M209" i="27" s="1"/>
  <c r="E214" i="37"/>
  <c r="F205" i="37"/>
  <c r="F258" i="35"/>
  <c r="H62" i="36"/>
  <c r="F255" i="36" s="1"/>
  <c r="C258" i="35"/>
  <c r="E23" i="51"/>
  <c r="E246" i="51" s="1"/>
  <c r="I39" i="7"/>
  <c r="G38" i="7"/>
  <c r="E92" i="38"/>
  <c r="H70" i="33"/>
  <c r="F275" i="33" s="1"/>
  <c r="I135" i="7"/>
  <c r="B310" i="33"/>
  <c r="B308" i="33"/>
  <c r="I257" i="38"/>
  <c r="O28" i="29"/>
  <c r="O34" i="29" s="1"/>
  <c r="O36" i="29" s="1"/>
  <c r="I248" i="38" s="1"/>
  <c r="I251" i="38" s="1"/>
  <c r="J266" i="38"/>
  <c r="K266" i="38"/>
  <c r="H93" i="33"/>
  <c r="K14" i="21"/>
  <c r="L220" i="21" s="1"/>
  <c r="H242" i="21"/>
  <c r="H239" i="21"/>
  <c r="I38" i="21"/>
  <c r="K35" i="21"/>
  <c r="L241" i="21" s="1"/>
  <c r="K33" i="21"/>
  <c r="L239" i="21" s="1"/>
  <c r="G16" i="5"/>
  <c r="G112" i="5" s="1"/>
  <c r="E110" i="7"/>
  <c r="G241" i="36"/>
  <c r="G212" i="36"/>
  <c r="B211" i="37"/>
  <c r="E258" i="36"/>
  <c r="F251" i="37"/>
  <c r="C227" i="37"/>
  <c r="E248" i="37"/>
  <c r="F265" i="37"/>
  <c r="F214" i="36"/>
  <c r="C214" i="37"/>
  <c r="E227" i="37"/>
  <c r="C251" i="37"/>
  <c r="B256" i="37"/>
  <c r="H248" i="37"/>
  <c r="G246" i="37"/>
  <c r="H263" i="37"/>
  <c r="H222" i="36"/>
  <c r="H232" i="37"/>
  <c r="C222" i="36"/>
  <c r="H265" i="37"/>
  <c r="H214" i="37"/>
  <c r="B248" i="37"/>
  <c r="F259" i="35"/>
  <c r="C234" i="37"/>
  <c r="C209" i="37"/>
  <c r="B259" i="35"/>
  <c r="G227" i="37"/>
  <c r="E211" i="37"/>
  <c r="F248" i="37"/>
  <c r="G206" i="35"/>
  <c r="H258" i="36"/>
  <c r="B237" i="36"/>
  <c r="G265" i="37"/>
  <c r="F230" i="37"/>
  <c r="G238" i="37"/>
  <c r="E256" i="37"/>
  <c r="H237" i="36"/>
  <c r="E263" i="37"/>
  <c r="F222" i="36"/>
  <c r="C238" i="37"/>
  <c r="F232" i="37"/>
  <c r="B232" i="37"/>
  <c r="H214" i="36"/>
  <c r="C265" i="37"/>
  <c r="C230" i="37"/>
  <c r="F256" i="37"/>
  <c r="C250" i="36"/>
  <c r="F219" i="35"/>
  <c r="G234" i="37"/>
  <c r="E241" i="36"/>
  <c r="G259" i="35"/>
  <c r="E212" i="36"/>
  <c r="H219" i="35"/>
  <c r="C219" i="35"/>
  <c r="C241" i="36"/>
  <c r="H212" i="36"/>
  <c r="H209" i="37"/>
  <c r="E234" i="37"/>
  <c r="H241" i="36"/>
  <c r="H259" i="35"/>
  <c r="F212" i="36"/>
  <c r="G219" i="35"/>
  <c r="I36" i="21"/>
  <c r="C242" i="21" s="1"/>
  <c r="F206" i="35"/>
  <c r="E237" i="36"/>
  <c r="B246" i="37"/>
  <c r="E251" i="37"/>
  <c r="B214" i="37"/>
  <c r="G256" i="37"/>
  <c r="H251" i="37"/>
  <c r="E238" i="37"/>
  <c r="F214" i="37"/>
  <c r="F258" i="36"/>
  <c r="H234" i="37"/>
  <c r="B214" i="36"/>
  <c r="H220" i="36"/>
  <c r="B265" i="37"/>
  <c r="F220" i="36"/>
  <c r="B230" i="37"/>
  <c r="H230" i="37"/>
  <c r="H238" i="37"/>
  <c r="C211" i="37"/>
  <c r="E230" i="37"/>
  <c r="G251" i="37"/>
  <c r="F237" i="36"/>
  <c r="C246" i="37"/>
  <c r="G263" i="37"/>
  <c r="B222" i="36"/>
  <c r="C220" i="36"/>
  <c r="G258" i="36"/>
  <c r="E214" i="36"/>
  <c r="H250" i="36"/>
  <c r="B227" i="37"/>
  <c r="H262" i="36"/>
  <c r="H261" i="36"/>
  <c r="E261" i="36"/>
  <c r="F261" i="36"/>
  <c r="B263" i="37"/>
  <c r="B259" i="36"/>
  <c r="E259" i="36"/>
  <c r="F259" i="36"/>
  <c r="C261" i="35"/>
  <c r="G261" i="35"/>
  <c r="B261" i="35"/>
  <c r="B257" i="36"/>
  <c r="F257" i="36"/>
  <c r="H257" i="36"/>
  <c r="F255" i="35"/>
  <c r="E250" i="36"/>
  <c r="F250" i="36"/>
  <c r="G250" i="36"/>
  <c r="E247" i="35"/>
  <c r="G245" i="37"/>
  <c r="G241" i="37"/>
  <c r="B239" i="35"/>
  <c r="E228" i="37"/>
  <c r="F226" i="35"/>
  <c r="B226" i="35"/>
  <c r="H226" i="35"/>
  <c r="H221" i="36"/>
  <c r="B220" i="36"/>
  <c r="G214" i="36"/>
  <c r="F210" i="37"/>
  <c r="G210" i="37"/>
  <c r="F209" i="35"/>
  <c r="B209" i="37"/>
  <c r="F209" i="37"/>
  <c r="G209" i="37"/>
  <c r="F204" i="36"/>
  <c r="C204" i="36"/>
  <c r="E204" i="36"/>
  <c r="H204" i="36"/>
  <c r="F235" i="9"/>
  <c r="E12" i="38"/>
  <c r="G117" i="5"/>
  <c r="B117" i="5"/>
  <c r="F117" i="5"/>
  <c r="B245" i="21"/>
  <c r="I12" i="38"/>
  <c r="F116" i="4"/>
  <c r="E116" i="4"/>
  <c r="B116" i="4"/>
  <c r="C11" i="33"/>
  <c r="J12" i="34"/>
  <c r="B201" i="30"/>
  <c r="I10" i="33"/>
  <c r="I216" i="33" s="1"/>
  <c r="K16" i="21"/>
  <c r="L222" i="21" s="1"/>
  <c r="L290" i="38"/>
  <c r="J290" i="38"/>
  <c r="K290" i="38"/>
  <c r="L266" i="38"/>
  <c r="C245" i="51"/>
  <c r="H222" i="21"/>
  <c r="H232" i="9"/>
  <c r="I60" i="6"/>
  <c r="I159" i="6" s="1"/>
  <c r="H228" i="21"/>
  <c r="G34" i="29"/>
  <c r="G18" i="7"/>
  <c r="C44" i="34" s="1"/>
  <c r="C241" i="34" s="1"/>
  <c r="L98" i="38"/>
  <c r="I198" i="38"/>
  <c r="G130" i="7"/>
  <c r="E100" i="38"/>
  <c r="K100" i="38" s="1"/>
  <c r="E99" i="38"/>
  <c r="K99" i="38" s="1"/>
  <c r="I92" i="38"/>
  <c r="K11" i="34"/>
  <c r="K206" i="34" s="1"/>
  <c r="K22" i="21"/>
  <c r="L228" i="21" s="1"/>
  <c r="K20" i="34"/>
  <c r="K215" i="34" s="1"/>
  <c r="K98" i="38"/>
  <c r="R154" i="6"/>
  <c r="B211" i="30"/>
  <c r="B210" i="30"/>
  <c r="I157" i="38"/>
  <c r="G28" i="8"/>
  <c r="G122" i="8" s="1"/>
  <c r="B223" i="17"/>
  <c r="K179" i="38"/>
  <c r="B290" i="33"/>
  <c r="C290" i="33"/>
  <c r="I18" i="21"/>
  <c r="H88" i="33" s="1"/>
  <c r="K38" i="21"/>
  <c r="L244" i="21" s="1"/>
  <c r="B108" i="5"/>
  <c r="B207" i="30"/>
  <c r="B214" i="28"/>
  <c r="G19" i="21"/>
  <c r="H225" i="21" s="1"/>
  <c r="E224" i="29"/>
  <c r="D251" i="21"/>
  <c r="I14" i="28"/>
  <c r="I23" i="28" s="1"/>
  <c r="I219" i="28" s="1"/>
  <c r="K29" i="21"/>
  <c r="L235" i="21" s="1"/>
  <c r="F207" i="30"/>
  <c r="B204" i="30"/>
  <c r="I35" i="21"/>
  <c r="C241" i="21" s="1"/>
  <c r="I218" i="34"/>
  <c r="D73" i="33"/>
  <c r="I330" i="38" s="1"/>
  <c r="H23" i="21"/>
  <c r="H45" i="21" s="1"/>
  <c r="I251" i="21" s="1"/>
  <c r="J231" i="50"/>
  <c r="E155" i="38"/>
  <c r="I42" i="21"/>
  <c r="B248" i="21" s="1"/>
  <c r="B213" i="30"/>
  <c r="H224" i="21"/>
  <c r="M10" i="28"/>
  <c r="M206" i="28" s="1"/>
  <c r="J214" i="26"/>
  <c r="G129" i="7"/>
  <c r="H248" i="21"/>
  <c r="D46" i="34"/>
  <c r="D243" i="34" s="1"/>
  <c r="J171" i="38"/>
  <c r="J179" i="38"/>
  <c r="L29" i="38"/>
  <c r="L45" i="38"/>
  <c r="K21" i="51"/>
  <c r="C244" i="51" s="1"/>
  <c r="G152" i="6"/>
  <c r="H110" i="4"/>
  <c r="K54" i="38"/>
  <c r="L54" i="38"/>
  <c r="J54" i="38"/>
  <c r="J51" i="38"/>
  <c r="L51" i="38"/>
  <c r="K51" i="38"/>
  <c r="H219" i="33"/>
  <c r="F219" i="33"/>
  <c r="H243" i="21"/>
  <c r="K37" i="21"/>
  <c r="L243" i="21" s="1"/>
  <c r="F16" i="34"/>
  <c r="E151" i="38"/>
  <c r="K151" i="38" s="1"/>
  <c r="G283" i="38"/>
  <c r="H227" i="21"/>
  <c r="K29" i="38"/>
  <c r="B216" i="30"/>
  <c r="E14" i="28"/>
  <c r="L283" i="38"/>
  <c r="G286" i="38"/>
  <c r="L286" i="38"/>
  <c r="J286" i="38"/>
  <c r="C245" i="21"/>
  <c r="L183" i="38"/>
  <c r="E27" i="51"/>
  <c r="E250" i="51" s="1"/>
  <c r="G288" i="38"/>
  <c r="L288" i="38"/>
  <c r="J288" i="38"/>
  <c r="K45" i="38"/>
  <c r="F20" i="26"/>
  <c r="L18" i="26"/>
  <c r="L214" i="26" s="1"/>
  <c r="F214" i="26"/>
  <c r="G107" i="33"/>
  <c r="G312" i="33" s="1"/>
  <c r="E123" i="8"/>
  <c r="C123" i="8"/>
  <c r="K171" i="38"/>
  <c r="J141" i="38"/>
  <c r="G34" i="7"/>
  <c r="G131" i="7" s="1"/>
  <c r="E224" i="22"/>
  <c r="E91" i="38"/>
  <c r="J91" i="38" s="1"/>
  <c r="B243" i="21"/>
  <c r="I14" i="25"/>
  <c r="I194" i="25"/>
  <c r="D26" i="34"/>
  <c r="D221" i="34" s="1"/>
  <c r="G256" i="51"/>
  <c r="H10" i="33"/>
  <c r="H216" i="33" s="1"/>
  <c r="G108" i="5"/>
  <c r="B103" i="5" s="1"/>
  <c r="D129" i="7"/>
  <c r="E97" i="38"/>
  <c r="L97" i="38" s="1"/>
  <c r="M28" i="29"/>
  <c r="M219" i="29"/>
  <c r="Q23" i="29"/>
  <c r="Q219" i="29" s="1"/>
  <c r="B199" i="30"/>
  <c r="C236" i="51"/>
  <c r="L141" i="38"/>
  <c r="I20" i="22"/>
  <c r="I224" i="22" s="1"/>
  <c r="L215" i="26"/>
  <c r="K141" i="38"/>
  <c r="K31" i="21"/>
  <c r="L237" i="21" s="1"/>
  <c r="G69" i="35"/>
  <c r="G209" i="27"/>
  <c r="D47" i="33"/>
  <c r="D250" i="33" s="1"/>
  <c r="I185" i="38"/>
  <c r="L185" i="38" s="1"/>
  <c r="L67" i="38"/>
  <c r="K67" i="38"/>
  <c r="J67" i="38"/>
  <c r="M26" i="31"/>
  <c r="E289" i="38" s="1"/>
  <c r="H223" i="21"/>
  <c r="K235" i="21"/>
  <c r="I21" i="21"/>
  <c r="K227" i="21" s="1"/>
  <c r="I17" i="21"/>
  <c r="K223" i="21" s="1"/>
  <c r="H234" i="21"/>
  <c r="K28" i="21"/>
  <c r="L234" i="21" s="1"/>
  <c r="G43" i="21"/>
  <c r="K43" i="21" s="1"/>
  <c r="L249" i="21" s="1"/>
  <c r="B212" i="30"/>
  <c r="H237" i="21"/>
  <c r="H223" i="30"/>
  <c r="F306" i="9"/>
  <c r="B99" i="9"/>
  <c r="B306" i="9" s="1"/>
  <c r="G32" i="8"/>
  <c r="F40" i="37"/>
  <c r="G40" i="37" s="1"/>
  <c r="E40" i="36"/>
  <c r="F214" i="30"/>
  <c r="B214" i="30"/>
  <c r="F34" i="9"/>
  <c r="B241" i="9" s="1"/>
  <c r="B205" i="30"/>
  <c r="C346" i="13"/>
  <c r="F13" i="28"/>
  <c r="F14" i="28" s="1"/>
  <c r="K26" i="21"/>
  <c r="L232" i="21" s="1"/>
  <c r="M21" i="28"/>
  <c r="M217" i="28" s="1"/>
  <c r="C305" i="33"/>
  <c r="F100" i="33"/>
  <c r="F305" i="33" s="1"/>
  <c r="I41" i="21"/>
  <c r="H247" i="21"/>
  <c r="I252" i="38"/>
  <c r="E59" i="6"/>
  <c r="I190" i="38"/>
  <c r="E154" i="6"/>
  <c r="F209" i="30"/>
  <c r="B209" i="30"/>
  <c r="K22" i="34"/>
  <c r="K217" i="34" s="1"/>
  <c r="I112" i="5"/>
  <c r="I12" i="33"/>
  <c r="I218" i="33" s="1"/>
  <c r="H234" i="30"/>
  <c r="J275" i="38"/>
  <c r="L275" i="38"/>
  <c r="K275" i="38"/>
  <c r="C240" i="51"/>
  <c r="B206" i="30"/>
  <c r="I324" i="38"/>
  <c r="J324" i="38" s="1"/>
  <c r="B233" i="21"/>
  <c r="K233" i="21"/>
  <c r="C233" i="21"/>
  <c r="F112" i="5"/>
  <c r="B203" i="30"/>
  <c r="D216" i="26"/>
  <c r="C28" i="33"/>
  <c r="E193" i="38"/>
  <c r="J223" i="30"/>
  <c r="J43" i="30"/>
  <c r="J234" i="30" s="1"/>
  <c r="K208" i="29"/>
  <c r="B208" i="29"/>
  <c r="F202" i="30"/>
  <c r="B202" i="30"/>
  <c r="J42" i="24"/>
  <c r="J244" i="24" s="1"/>
  <c r="J222" i="24"/>
  <c r="K141" i="6"/>
  <c r="L141" i="6"/>
  <c r="K12" i="25"/>
  <c r="K192" i="25"/>
  <c r="F55" i="9"/>
  <c r="F255" i="9"/>
  <c r="O230" i="29"/>
  <c r="I20" i="21"/>
  <c r="K226" i="21" s="1"/>
  <c r="K20" i="21"/>
  <c r="L226" i="21" s="1"/>
  <c r="H226" i="21"/>
  <c r="L207" i="28"/>
  <c r="M11" i="28"/>
  <c r="P235" i="32"/>
  <c r="I101" i="38"/>
  <c r="K195" i="38"/>
  <c r="J195" i="38"/>
  <c r="L195" i="38"/>
  <c r="K40" i="21"/>
  <c r="L246" i="21" s="1"/>
  <c r="I40" i="21"/>
  <c r="H246" i="21"/>
  <c r="J183" i="38"/>
  <c r="K183" i="38"/>
  <c r="E60" i="6"/>
  <c r="L154" i="6"/>
  <c r="N154" i="6"/>
  <c r="I189" i="38"/>
  <c r="I196" i="38"/>
  <c r="B105" i="4"/>
  <c r="E105" i="4"/>
  <c r="F105" i="4"/>
  <c r="F12" i="4"/>
  <c r="F231" i="50"/>
  <c r="D9" i="50"/>
  <c r="B206" i="50" s="1"/>
  <c r="E13" i="21"/>
  <c r="C214" i="22"/>
  <c r="I214" i="22"/>
  <c r="D214" i="22"/>
  <c r="D139" i="7"/>
  <c r="G139" i="7"/>
  <c r="H208" i="28"/>
  <c r="K12" i="28"/>
  <c r="J12" i="28"/>
  <c r="F258" i="37"/>
  <c r="C258" i="37"/>
  <c r="E258" i="37"/>
  <c r="B258" i="37"/>
  <c r="G258" i="37"/>
  <c r="H258" i="37"/>
  <c r="H14" i="28"/>
  <c r="L96" i="38"/>
  <c r="K96" i="38"/>
  <c r="J96" i="38"/>
  <c r="I66" i="38"/>
  <c r="I225" i="21"/>
  <c r="G62" i="38"/>
  <c r="G66" i="38"/>
  <c r="I62" i="38"/>
  <c r="E158" i="38"/>
  <c r="L160" i="38" s="1"/>
  <c r="D25" i="50"/>
  <c r="E116" i="38"/>
  <c r="C81" i="33"/>
  <c r="D217" i="50"/>
  <c r="L12" i="28"/>
  <c r="I208" i="28"/>
  <c r="H44" i="9"/>
  <c r="H245" i="9"/>
  <c r="K34" i="21"/>
  <c r="L240" i="21" s="1"/>
  <c r="H240" i="21"/>
  <c r="I34" i="21"/>
  <c r="K240" i="21" s="1"/>
  <c r="F35" i="33"/>
  <c r="G34" i="33" s="1"/>
  <c r="M9" i="28"/>
  <c r="D205" i="28" s="1"/>
  <c r="C222" i="24"/>
  <c r="I216" i="34"/>
  <c r="B216" i="28"/>
  <c r="B217" i="50"/>
  <c r="I26" i="21"/>
  <c r="H232" i="21"/>
  <c r="K181" i="38"/>
  <c r="L181" i="38"/>
  <c r="J181" i="38"/>
  <c r="I328" i="38"/>
  <c r="H209" i="28"/>
  <c r="J13" i="28"/>
  <c r="J209" i="28" s="1"/>
  <c r="K13" i="28"/>
  <c r="K209" i="28" s="1"/>
  <c r="F38" i="9"/>
  <c r="G60" i="6"/>
  <c r="P154" i="6"/>
  <c r="I197" i="38"/>
  <c r="G70" i="36"/>
  <c r="H70" i="36" s="1"/>
  <c r="E210" i="28"/>
  <c r="E23" i="28"/>
  <c r="E219" i="28" s="1"/>
  <c r="H236" i="21"/>
  <c r="I30" i="21"/>
  <c r="K30" i="21"/>
  <c r="L236" i="21" s="1"/>
  <c r="G70" i="37"/>
  <c r="H70" i="37" s="1"/>
  <c r="I276" i="33"/>
  <c r="I73" i="33"/>
  <c r="F276" i="33"/>
  <c r="B223" i="19"/>
  <c r="H290" i="33"/>
  <c r="F290" i="33"/>
  <c r="G18" i="8"/>
  <c r="H261" i="9"/>
  <c r="K165" i="38"/>
  <c r="L165" i="38"/>
  <c r="E218" i="21"/>
  <c r="E128" i="38"/>
  <c r="G12" i="21"/>
  <c r="J188" i="38"/>
  <c r="K188" i="38"/>
  <c r="L188" i="38"/>
  <c r="K124" i="38"/>
  <c r="J124" i="38"/>
  <c r="L124" i="38"/>
  <c r="C235" i="51"/>
  <c r="C232" i="51"/>
  <c r="C16" i="34"/>
  <c r="C211" i="34" s="1"/>
  <c r="D216" i="22"/>
  <c r="C216" i="22"/>
  <c r="K242" i="21"/>
  <c r="K220" i="21"/>
  <c r="C88" i="33"/>
  <c r="B220" i="21"/>
  <c r="G113" i="8"/>
  <c r="E230" i="29"/>
  <c r="E36" i="29"/>
  <c r="E232" i="29" s="1"/>
  <c r="F298" i="33"/>
  <c r="H298" i="33"/>
  <c r="K237" i="21"/>
  <c r="B237" i="21"/>
  <c r="C275" i="33"/>
  <c r="E330" i="38"/>
  <c r="B275" i="33"/>
  <c r="K238" i="21"/>
  <c r="B238" i="21"/>
  <c r="C238" i="21"/>
  <c r="I89" i="33"/>
  <c r="I294" i="33" s="1"/>
  <c r="I292" i="33"/>
  <c r="I333" i="38"/>
  <c r="D226" i="26"/>
  <c r="E190" i="38"/>
  <c r="H229" i="50"/>
  <c r="B234" i="21"/>
  <c r="K234" i="21"/>
  <c r="D89" i="33"/>
  <c r="D294" i="33" s="1"/>
  <c r="D292" i="33"/>
  <c r="I332" i="38"/>
  <c r="G246" i="51"/>
  <c r="E253" i="38"/>
  <c r="E223" i="38"/>
  <c r="E217" i="38"/>
  <c r="K270" i="38"/>
  <c r="J270" i="38"/>
  <c r="L41" i="38"/>
  <c r="H36" i="4"/>
  <c r="I17" i="5"/>
  <c r="I93" i="38"/>
  <c r="I136" i="7"/>
  <c r="C135" i="7"/>
  <c r="D135" i="7"/>
  <c r="G135" i="7"/>
  <c r="H275" i="33"/>
  <c r="I253" i="38"/>
  <c r="G154" i="6"/>
  <c r="F9" i="9"/>
  <c r="G59" i="6"/>
  <c r="I191" i="38"/>
  <c r="J30" i="26"/>
  <c r="J226" i="26" s="1"/>
  <c r="J216" i="26"/>
  <c r="C41" i="33"/>
  <c r="C247" i="33" s="1"/>
  <c r="E203" i="27"/>
  <c r="I231" i="38"/>
  <c r="I268" i="38"/>
  <c r="I243" i="38"/>
  <c r="E33" i="45"/>
  <c r="K225" i="23"/>
  <c r="K42" i="23"/>
  <c r="E257" i="38"/>
  <c r="I219" i="29"/>
  <c r="I28" i="29"/>
  <c r="K28" i="29" s="1"/>
  <c r="K224" i="29" s="1"/>
  <c r="D244" i="24"/>
  <c r="E249" i="51"/>
  <c r="E240" i="38"/>
  <c r="E243" i="38" s="1"/>
  <c r="C19" i="34"/>
  <c r="C214" i="34" s="1"/>
  <c r="E228" i="38"/>
  <c r="E231" i="38" s="1"/>
  <c r="I152" i="6"/>
  <c r="F39" i="35"/>
  <c r="F40" i="36"/>
  <c r="D152" i="6"/>
  <c r="I55" i="6"/>
  <c r="D13" i="33"/>
  <c r="D219" i="33" s="1"/>
  <c r="H118" i="4"/>
  <c r="E19" i="38"/>
  <c r="K13" i="34"/>
  <c r="K208" i="34" s="1"/>
  <c r="F45" i="21"/>
  <c r="F251" i="21" s="1"/>
  <c r="F229" i="21"/>
  <c r="G141" i="7"/>
  <c r="I94" i="38"/>
  <c r="F65" i="9"/>
  <c r="B265" i="9"/>
  <c r="F265" i="9"/>
  <c r="O239" i="51"/>
  <c r="C239" i="51"/>
  <c r="O233" i="51"/>
  <c r="C233" i="51"/>
  <c r="E254" i="38"/>
  <c r="E218" i="38"/>
  <c r="E224" i="38"/>
  <c r="M246" i="51"/>
  <c r="E222" i="38"/>
  <c r="E216" i="38"/>
  <c r="O241" i="51"/>
  <c r="C241" i="51"/>
  <c r="B228" i="21"/>
  <c r="D211" i="34"/>
  <c r="C36" i="34"/>
  <c r="E13" i="34"/>
  <c r="E11" i="34"/>
  <c r="I223" i="38"/>
  <c r="E15" i="34"/>
  <c r="E12" i="34"/>
  <c r="C35" i="34"/>
  <c r="O234" i="51"/>
  <c r="C234" i="51"/>
  <c r="O238" i="51"/>
  <c r="C238" i="51"/>
  <c r="O237" i="51"/>
  <c r="C237" i="51"/>
  <c r="C231" i="51"/>
  <c r="O231" i="51"/>
  <c r="O242" i="51"/>
  <c r="C242" i="51"/>
  <c r="B307" i="33"/>
  <c r="O209" i="27"/>
  <c r="I186" i="38"/>
  <c r="F47" i="33"/>
  <c r="C312" i="33"/>
  <c r="F107" i="33"/>
  <c r="F312" i="33" s="1"/>
  <c r="C28" i="29"/>
  <c r="C224" i="29" s="1"/>
  <c r="C219" i="29"/>
  <c r="C221" i="34"/>
  <c r="M256" i="51"/>
  <c r="F26" i="34"/>
  <c r="F221" i="34" s="1"/>
  <c r="I235" i="38"/>
  <c r="K8" i="27"/>
  <c r="G18" i="27"/>
  <c r="E199" i="38"/>
  <c r="D41" i="33"/>
  <c r="M8" i="27"/>
  <c r="G203" i="27"/>
  <c r="P18" i="26"/>
  <c r="P27" i="26"/>
  <c r="P19" i="26"/>
  <c r="P24" i="26"/>
  <c r="P28" i="26"/>
  <c r="P224" i="26" s="1"/>
  <c r="P22" i="26"/>
  <c r="P25" i="26"/>
  <c r="N226" i="26"/>
  <c r="P17" i="26"/>
  <c r="P26" i="26"/>
  <c r="P23" i="26"/>
  <c r="E192" i="38"/>
  <c r="P20" i="26"/>
  <c r="J234" i="34"/>
  <c r="I234" i="34"/>
  <c r="J41" i="38"/>
  <c r="K41" i="38"/>
  <c r="E208" i="38"/>
  <c r="O203" i="27"/>
  <c r="E202" i="38"/>
  <c r="F41" i="33"/>
  <c r="I239" i="38"/>
  <c r="O18" i="27"/>
  <c r="E215" i="25"/>
  <c r="I184" i="38"/>
  <c r="K233" i="34"/>
  <c r="K40" i="34"/>
  <c r="K42" i="34" s="1"/>
  <c r="K237" i="34" s="1"/>
  <c r="B321" i="13"/>
  <c r="B337" i="13"/>
  <c r="A321" i="13"/>
  <c r="H206" i="50"/>
  <c r="H15" i="50"/>
  <c r="H80" i="33"/>
  <c r="F19" i="34"/>
  <c r="E236" i="38"/>
  <c r="E239" i="38" s="1"/>
  <c r="E248" i="38"/>
  <c r="E251" i="38" s="1"/>
  <c r="M249" i="51"/>
  <c r="M27" i="51"/>
  <c r="F24" i="34"/>
  <c r="F219" i="34" s="1"/>
  <c r="M255" i="51"/>
  <c r="E244" i="38"/>
  <c r="E247" i="38" s="1"/>
  <c r="G249" i="51"/>
  <c r="G27" i="51"/>
  <c r="E232" i="38"/>
  <c r="E235" i="38" s="1"/>
  <c r="D19" i="34"/>
  <c r="K26" i="51"/>
  <c r="E213" i="27"/>
  <c r="E196" i="38"/>
  <c r="C250" i="33"/>
  <c r="C13" i="33"/>
  <c r="F118" i="4"/>
  <c r="E18" i="38"/>
  <c r="J13" i="34"/>
  <c r="B118" i="4"/>
  <c r="E118" i="4"/>
  <c r="B306" i="33"/>
  <c r="B239" i="21"/>
  <c r="E252" i="38" l="1"/>
  <c r="K252" i="38" s="1"/>
  <c r="J12" i="38"/>
  <c r="I215" i="34"/>
  <c r="J99" i="38"/>
  <c r="P9" i="26"/>
  <c r="P205" i="26" s="1"/>
  <c r="G255" i="36"/>
  <c r="B255" i="36"/>
  <c r="E255" i="36"/>
  <c r="C255" i="36"/>
  <c r="H255" i="36"/>
  <c r="E331" i="38"/>
  <c r="H73" i="33"/>
  <c r="L99" i="38"/>
  <c r="J92" i="38"/>
  <c r="O224" i="29"/>
  <c r="C244" i="21"/>
  <c r="I229" i="21"/>
  <c r="L157" i="38"/>
  <c r="C220" i="21"/>
  <c r="B244" i="21"/>
  <c r="K244" i="21"/>
  <c r="C239" i="21"/>
  <c r="C232" i="21"/>
  <c r="I19" i="21"/>
  <c r="K225" i="21" s="1"/>
  <c r="B223" i="21"/>
  <c r="B242" i="21"/>
  <c r="K241" i="21"/>
  <c r="J22" i="34"/>
  <c r="J217" i="34" s="1"/>
  <c r="B241" i="34"/>
  <c r="E32" i="8"/>
  <c r="E126" i="8" s="1"/>
  <c r="B112" i="5"/>
  <c r="H12" i="33"/>
  <c r="H218" i="33" s="1"/>
  <c r="G29" i="7"/>
  <c r="E28" i="8" s="1"/>
  <c r="E122" i="8" s="1"/>
  <c r="C227" i="21"/>
  <c r="H69" i="35"/>
  <c r="E266" i="35" s="1"/>
  <c r="H40" i="37"/>
  <c r="H236" i="37" s="1"/>
  <c r="E14" i="34"/>
  <c r="E16" i="34" s="1"/>
  <c r="C71" i="33"/>
  <c r="C73" i="33" s="1"/>
  <c r="C278" i="33" s="1"/>
  <c r="C224" i="21"/>
  <c r="K224" i="21"/>
  <c r="J207" i="34"/>
  <c r="I207" i="34"/>
  <c r="C228" i="21"/>
  <c r="L12" i="38"/>
  <c r="K12" i="38"/>
  <c r="C217" i="33"/>
  <c r="B217" i="33"/>
  <c r="B224" i="21"/>
  <c r="E95" i="38"/>
  <c r="K95" i="38" s="1"/>
  <c r="G36" i="29"/>
  <c r="C38" i="34" s="1"/>
  <c r="I267" i="38"/>
  <c r="J267" i="38" s="1"/>
  <c r="K157" i="38"/>
  <c r="L100" i="38"/>
  <c r="J100" i="38"/>
  <c r="G230" i="29"/>
  <c r="I210" i="28"/>
  <c r="D206" i="28"/>
  <c r="F19" i="9"/>
  <c r="F25" i="9" s="1"/>
  <c r="F232" i="9" s="1"/>
  <c r="E115" i="7"/>
  <c r="G37" i="7"/>
  <c r="M205" i="28"/>
  <c r="J157" i="38"/>
  <c r="G11" i="34"/>
  <c r="B206" i="34" s="1"/>
  <c r="B206" i="28"/>
  <c r="G115" i="7"/>
  <c r="L92" i="38"/>
  <c r="K92" i="38"/>
  <c r="F209" i="28"/>
  <c r="G30" i="33"/>
  <c r="G236" i="33" s="1"/>
  <c r="I334" i="38"/>
  <c r="D131" i="7"/>
  <c r="K23" i="51"/>
  <c r="C246" i="51" s="1"/>
  <c r="K19" i="21"/>
  <c r="L225" i="21" s="1"/>
  <c r="C223" i="21"/>
  <c r="I42" i="22"/>
  <c r="I246" i="22" s="1"/>
  <c r="C235" i="21"/>
  <c r="E40" i="51"/>
  <c r="E42" i="51" s="1"/>
  <c r="F241" i="9"/>
  <c r="B219" i="29"/>
  <c r="I218" i="38"/>
  <c r="K218" i="38" s="1"/>
  <c r="G33" i="33"/>
  <c r="G239" i="33" s="1"/>
  <c r="G32" i="33"/>
  <c r="G238" i="33" s="1"/>
  <c r="F241" i="33"/>
  <c r="G28" i="33"/>
  <c r="G234" i="33" s="1"/>
  <c r="D278" i="33"/>
  <c r="I224" i="38"/>
  <c r="K224" i="38" s="1"/>
  <c r="K248" i="21"/>
  <c r="G12" i="34"/>
  <c r="G207" i="34" s="1"/>
  <c r="E34" i="38"/>
  <c r="C248" i="21"/>
  <c r="K244" i="51"/>
  <c r="E93" i="38"/>
  <c r="J93" i="38" s="1"/>
  <c r="C43" i="34"/>
  <c r="C46" i="34" s="1"/>
  <c r="B243" i="34" s="1"/>
  <c r="G13" i="34"/>
  <c r="G208" i="34" s="1"/>
  <c r="C206" i="28"/>
  <c r="B241" i="21"/>
  <c r="L20" i="26"/>
  <c r="L216" i="26" s="1"/>
  <c r="C243" i="21"/>
  <c r="K91" i="38"/>
  <c r="K160" i="38"/>
  <c r="K97" i="38"/>
  <c r="L91" i="38"/>
  <c r="C237" i="21"/>
  <c r="G15" i="34"/>
  <c r="G210" i="34" s="1"/>
  <c r="F211" i="34"/>
  <c r="D36" i="34"/>
  <c r="D231" i="34" s="1"/>
  <c r="I222" i="38"/>
  <c r="J222" i="38" s="1"/>
  <c r="E158" i="6"/>
  <c r="I30" i="38"/>
  <c r="J151" i="38"/>
  <c r="C20" i="34"/>
  <c r="C215" i="34" s="1"/>
  <c r="D224" i="22"/>
  <c r="F216" i="33"/>
  <c r="L151" i="38"/>
  <c r="D28" i="33"/>
  <c r="E194" i="38"/>
  <c r="F216" i="26"/>
  <c r="F30" i="26"/>
  <c r="H18" i="26" s="1"/>
  <c r="J185" i="38"/>
  <c r="K185" i="38"/>
  <c r="J97" i="38"/>
  <c r="G31" i="33"/>
  <c r="B226" i="21"/>
  <c r="M34" i="29"/>
  <c r="Q28" i="29"/>
  <c r="Q224" i="29" s="1"/>
  <c r="M224" i="29"/>
  <c r="B305" i="33"/>
  <c r="E182" i="38"/>
  <c r="I196" i="25"/>
  <c r="F42" i="4"/>
  <c r="F140" i="4" s="1"/>
  <c r="J29" i="34"/>
  <c r="J224" i="34" s="1"/>
  <c r="F57" i="33"/>
  <c r="F263" i="33" s="1"/>
  <c r="J289" i="38"/>
  <c r="K289" i="38"/>
  <c r="P289" i="38"/>
  <c r="L289" i="38" s="1"/>
  <c r="B227" i="21"/>
  <c r="C234" i="21"/>
  <c r="I43" i="21"/>
  <c r="C249" i="21" s="1"/>
  <c r="C240" i="21"/>
  <c r="H249" i="21"/>
  <c r="G13" i="28"/>
  <c r="G209" i="28" s="1"/>
  <c r="E11" i="8"/>
  <c r="E105" i="8" s="1"/>
  <c r="L13" i="28"/>
  <c r="L209" i="28" s="1"/>
  <c r="B217" i="28"/>
  <c r="B240" i="21"/>
  <c r="L193" i="38"/>
  <c r="J193" i="38"/>
  <c r="K193" i="38"/>
  <c r="B234" i="30"/>
  <c r="G126" i="8"/>
  <c r="E110" i="38"/>
  <c r="K247" i="21"/>
  <c r="C247" i="21"/>
  <c r="B247" i="21"/>
  <c r="C234" i="33"/>
  <c r="C35" i="33"/>
  <c r="L324" i="38"/>
  <c r="K324" i="38"/>
  <c r="C263" i="36"/>
  <c r="E263" i="36"/>
  <c r="G263" i="36"/>
  <c r="B263" i="36"/>
  <c r="H263" i="36"/>
  <c r="F263" i="36"/>
  <c r="F245" i="9"/>
  <c r="B245" i="9"/>
  <c r="F44" i="9"/>
  <c r="L328" i="38"/>
  <c r="J328" i="38"/>
  <c r="K328" i="38"/>
  <c r="L208" i="28"/>
  <c r="M12" i="28"/>
  <c r="M208" i="28" s="1"/>
  <c r="P93" i="33"/>
  <c r="C93" i="33" s="1"/>
  <c r="D222" i="50"/>
  <c r="B222" i="50"/>
  <c r="D32" i="50"/>
  <c r="D37" i="50"/>
  <c r="H210" i="28"/>
  <c r="H23" i="28"/>
  <c r="H219" i="28" s="1"/>
  <c r="K208" i="28"/>
  <c r="K14" i="28"/>
  <c r="E129" i="38"/>
  <c r="E134" i="38" s="1"/>
  <c r="G13" i="21"/>
  <c r="G15" i="21" s="1"/>
  <c r="E219" i="21"/>
  <c r="M207" i="28"/>
  <c r="B207" i="28"/>
  <c r="C207" i="28"/>
  <c r="I180" i="38"/>
  <c r="K194" i="25"/>
  <c r="B194" i="25"/>
  <c r="K14" i="25"/>
  <c r="D35" i="34" s="1"/>
  <c r="D230" i="34" s="1"/>
  <c r="G266" i="37"/>
  <c r="E266" i="37"/>
  <c r="F266" i="37"/>
  <c r="H266" i="37"/>
  <c r="C266" i="37"/>
  <c r="B266" i="37"/>
  <c r="K232" i="21"/>
  <c r="B232" i="21"/>
  <c r="C10" i="33"/>
  <c r="F110" i="4"/>
  <c r="B104" i="4" s="1"/>
  <c r="J11" i="34"/>
  <c r="D207" i="28"/>
  <c r="B246" i="21"/>
  <c r="K246" i="21"/>
  <c r="E15" i="21"/>
  <c r="E23" i="21" s="1"/>
  <c r="G17" i="8"/>
  <c r="H251" i="9"/>
  <c r="B286" i="33"/>
  <c r="J35" i="34"/>
  <c r="C286" i="33"/>
  <c r="J62" i="38"/>
  <c r="L62" i="38"/>
  <c r="K62" i="38"/>
  <c r="K66" i="38"/>
  <c r="L66" i="38"/>
  <c r="J66" i="38"/>
  <c r="E159" i="6"/>
  <c r="E61" i="6"/>
  <c r="E160" i="6" s="1"/>
  <c r="F261" i="9"/>
  <c r="E18" i="8"/>
  <c r="E112" i="8" s="1"/>
  <c r="B205" i="28"/>
  <c r="C244" i="24"/>
  <c r="J160" i="38"/>
  <c r="B261" i="9"/>
  <c r="B236" i="21"/>
  <c r="K236" i="21"/>
  <c r="C236" i="21"/>
  <c r="G159" i="6"/>
  <c r="J9" i="26"/>
  <c r="K118" i="38"/>
  <c r="J118" i="38"/>
  <c r="L118" i="38"/>
  <c r="J14" i="28"/>
  <c r="J208" i="28"/>
  <c r="D208" i="28"/>
  <c r="E172" i="38"/>
  <c r="D206" i="50"/>
  <c r="D15" i="50"/>
  <c r="B212" i="50" s="1"/>
  <c r="C80" i="33"/>
  <c r="J189" i="38"/>
  <c r="L189" i="38"/>
  <c r="K189" i="38"/>
  <c r="C246" i="21"/>
  <c r="C226" i="21"/>
  <c r="I202" i="38"/>
  <c r="I204" i="38" s="1"/>
  <c r="K204" i="38" s="1"/>
  <c r="O232" i="29"/>
  <c r="D75" i="33"/>
  <c r="D280" i="33" s="1"/>
  <c r="I75" i="33"/>
  <c r="I280" i="33" s="1"/>
  <c r="I278" i="33"/>
  <c r="I331" i="38"/>
  <c r="L331" i="38" s="1"/>
  <c r="I12" i="21"/>
  <c r="K12" i="21"/>
  <c r="L218" i="21" s="1"/>
  <c r="H218" i="21"/>
  <c r="G112" i="8"/>
  <c r="C50" i="33"/>
  <c r="I219" i="38" s="1"/>
  <c r="K190" i="38"/>
  <c r="J190" i="38"/>
  <c r="L190" i="38"/>
  <c r="J330" i="38"/>
  <c r="K330" i="38"/>
  <c r="L330" i="38"/>
  <c r="B293" i="33"/>
  <c r="C293" i="33"/>
  <c r="J41" i="34"/>
  <c r="F293" i="33"/>
  <c r="H293" i="33"/>
  <c r="K210" i="38"/>
  <c r="J210" i="38"/>
  <c r="L210" i="38"/>
  <c r="J205" i="38"/>
  <c r="L207" i="38"/>
  <c r="J207" i="38"/>
  <c r="K207" i="38"/>
  <c r="K25" i="34"/>
  <c r="K220" i="34" s="1"/>
  <c r="I19" i="5"/>
  <c r="I113" i="5"/>
  <c r="I18" i="33"/>
  <c r="I224" i="33" s="1"/>
  <c r="D18" i="33"/>
  <c r="D224" i="33" s="1"/>
  <c r="K16" i="34"/>
  <c r="K211" i="34" s="1"/>
  <c r="H134" i="4"/>
  <c r="G158" i="6"/>
  <c r="J8" i="26"/>
  <c r="G61" i="6"/>
  <c r="F23" i="28"/>
  <c r="F219" i="28" s="1"/>
  <c r="F210" i="28"/>
  <c r="F15" i="9"/>
  <c r="F216" i="9"/>
  <c r="K253" i="38"/>
  <c r="J253" i="38"/>
  <c r="L253" i="38"/>
  <c r="F278" i="33"/>
  <c r="H278" i="33"/>
  <c r="I254" i="38"/>
  <c r="J254" i="38" s="1"/>
  <c r="I59" i="6"/>
  <c r="B154" i="6"/>
  <c r="H9" i="9"/>
  <c r="I154" i="6"/>
  <c r="I192" i="38"/>
  <c r="J192" i="38" s="1"/>
  <c r="G40" i="36"/>
  <c r="H40" i="36" s="1"/>
  <c r="A152" i="6"/>
  <c r="B152" i="6"/>
  <c r="I34" i="29"/>
  <c r="E273" i="38" s="1"/>
  <c r="I224" i="29"/>
  <c r="K247" i="23"/>
  <c r="D247" i="23"/>
  <c r="L268" i="38"/>
  <c r="K268" i="38"/>
  <c r="J268" i="38"/>
  <c r="B225" i="21"/>
  <c r="F272" i="9"/>
  <c r="E19" i="8"/>
  <c r="B272" i="9"/>
  <c r="K19" i="38"/>
  <c r="J19" i="38"/>
  <c r="L19" i="38"/>
  <c r="G39" i="35"/>
  <c r="H39" i="35" s="1"/>
  <c r="K231" i="38"/>
  <c r="J231" i="38"/>
  <c r="L231" i="38"/>
  <c r="L243" i="38"/>
  <c r="J243" i="38"/>
  <c r="K243" i="38"/>
  <c r="J257" i="38"/>
  <c r="K257" i="38"/>
  <c r="L257" i="38"/>
  <c r="C230" i="34"/>
  <c r="L223" i="38"/>
  <c r="J223" i="38"/>
  <c r="K223" i="38"/>
  <c r="E210" i="34"/>
  <c r="C231" i="34"/>
  <c r="E207" i="34"/>
  <c r="E208" i="34"/>
  <c r="E206" i="34"/>
  <c r="J252" i="38"/>
  <c r="G250" i="51"/>
  <c r="D20" i="34"/>
  <c r="D215" i="34" s="1"/>
  <c r="K177" i="38"/>
  <c r="L177" i="38"/>
  <c r="J177" i="38"/>
  <c r="Q18" i="27"/>
  <c r="Q213" i="27" s="1"/>
  <c r="Q15" i="27"/>
  <c r="Q210" i="27" s="1"/>
  <c r="Q13" i="27"/>
  <c r="Q208" i="27" s="1"/>
  <c r="Q14" i="27"/>
  <c r="Q209" i="27" s="1"/>
  <c r="Q10" i="27"/>
  <c r="Q205" i="27" s="1"/>
  <c r="Q12" i="27"/>
  <c r="Q207" i="27" s="1"/>
  <c r="Q11" i="27"/>
  <c r="Q206" i="27" s="1"/>
  <c r="E198" i="38"/>
  <c r="O213" i="27"/>
  <c r="Q8" i="27"/>
  <c r="Q203" i="27" s="1"/>
  <c r="Q16" i="27"/>
  <c r="Q211" i="27" s="1"/>
  <c r="P222" i="26"/>
  <c r="J208" i="34"/>
  <c r="I208" i="34"/>
  <c r="K249" i="51"/>
  <c r="K251" i="38"/>
  <c r="J251" i="38"/>
  <c r="L251" i="38"/>
  <c r="H36" i="50"/>
  <c r="N92" i="33"/>
  <c r="H92" i="33" s="1"/>
  <c r="H17" i="50"/>
  <c r="H212" i="50"/>
  <c r="H38" i="50"/>
  <c r="I335" i="38"/>
  <c r="K235" i="34"/>
  <c r="P216" i="26"/>
  <c r="P30" i="26"/>
  <c r="P213" i="26"/>
  <c r="P214" i="26"/>
  <c r="F250" i="33"/>
  <c r="P218" i="26"/>
  <c r="M203" i="27"/>
  <c r="M18" i="27"/>
  <c r="M213" i="27" s="1"/>
  <c r="J196" i="38"/>
  <c r="L196" i="38"/>
  <c r="K196" i="38"/>
  <c r="L235" i="38"/>
  <c r="K235" i="38"/>
  <c r="J235" i="38"/>
  <c r="M250" i="51"/>
  <c r="F20" i="34"/>
  <c r="F215" i="34" s="1"/>
  <c r="F214" i="34"/>
  <c r="H285" i="33"/>
  <c r="F285" i="33"/>
  <c r="H84" i="33"/>
  <c r="E333" i="38"/>
  <c r="P219" i="26"/>
  <c r="P221" i="26"/>
  <c r="P215" i="26"/>
  <c r="G40" i="51"/>
  <c r="K27" i="51"/>
  <c r="K250" i="51" s="1"/>
  <c r="C219" i="33"/>
  <c r="B219" i="33"/>
  <c r="B218" i="33"/>
  <c r="P223" i="26"/>
  <c r="I14" i="27"/>
  <c r="G213" i="27"/>
  <c r="I16" i="27"/>
  <c r="I11" i="27"/>
  <c r="I8" i="27"/>
  <c r="I15" i="27"/>
  <c r="I10" i="27"/>
  <c r="I18" i="27"/>
  <c r="I213" i="27" s="1"/>
  <c r="E197" i="38"/>
  <c r="I12" i="27"/>
  <c r="I13" i="27"/>
  <c r="J18" i="38"/>
  <c r="K18" i="38"/>
  <c r="L18" i="38"/>
  <c r="D214" i="34"/>
  <c r="J239" i="38"/>
  <c r="L239" i="38"/>
  <c r="K239" i="38"/>
  <c r="L184" i="38"/>
  <c r="K184" i="38"/>
  <c r="J184" i="38"/>
  <c r="G240" i="33"/>
  <c r="F247" i="33"/>
  <c r="F50" i="33"/>
  <c r="G46" i="33" s="1"/>
  <c r="G253" i="33" s="1"/>
  <c r="P220" i="26"/>
  <c r="D50" i="33"/>
  <c r="D247" i="33"/>
  <c r="K203" i="27"/>
  <c r="K18" i="27"/>
  <c r="K213" i="27" s="1"/>
  <c r="K186" i="38"/>
  <c r="J186" i="38"/>
  <c r="L186" i="38"/>
  <c r="M40" i="51"/>
  <c r="L252" i="38" l="1"/>
  <c r="G126" i="7"/>
  <c r="G266" i="35"/>
  <c r="E236" i="37"/>
  <c r="I217" i="34"/>
  <c r="G47" i="33"/>
  <c r="E45" i="33"/>
  <c r="E46" i="33"/>
  <c r="G42" i="33"/>
  <c r="G251" i="33" s="1"/>
  <c r="G45" i="33"/>
  <c r="G252" i="33" s="1"/>
  <c r="E252" i="33"/>
  <c r="E49" i="33"/>
  <c r="E255" i="33" s="1"/>
  <c r="E42" i="33"/>
  <c r="E209" i="34"/>
  <c r="K93" i="38"/>
  <c r="B278" i="33"/>
  <c r="E29" i="7"/>
  <c r="B28" i="8" s="1"/>
  <c r="B122" i="8" s="1"/>
  <c r="C27" i="34"/>
  <c r="C29" i="34" s="1"/>
  <c r="L267" i="38"/>
  <c r="G232" i="29"/>
  <c r="B224" i="29"/>
  <c r="E261" i="51"/>
  <c r="G48" i="33"/>
  <c r="G254" i="33" s="1"/>
  <c r="G49" i="33"/>
  <c r="G255" i="33" s="1"/>
  <c r="G206" i="34"/>
  <c r="B226" i="9"/>
  <c r="B232" i="9"/>
  <c r="H75" i="33"/>
  <c r="F280" i="33" s="1"/>
  <c r="C276" i="33"/>
  <c r="F226" i="9"/>
  <c r="B32" i="8"/>
  <c r="C110" i="38" s="1"/>
  <c r="J95" i="38"/>
  <c r="F218" i="33"/>
  <c r="C126" i="8"/>
  <c r="E10" i="8"/>
  <c r="B104" i="8" s="1"/>
  <c r="C75" i="33"/>
  <c r="B280" i="33" s="1"/>
  <c r="B276" i="33"/>
  <c r="K267" i="38"/>
  <c r="L95" i="38"/>
  <c r="F266" i="35"/>
  <c r="H266" i="35"/>
  <c r="C266" i="35"/>
  <c r="B266" i="35"/>
  <c r="E47" i="33"/>
  <c r="E250" i="33" s="1"/>
  <c r="E48" i="33"/>
  <c r="C236" i="37"/>
  <c r="F236" i="37"/>
  <c r="B236" i="37"/>
  <c r="G236" i="37"/>
  <c r="G14" i="34"/>
  <c r="G209" i="34" s="1"/>
  <c r="G29" i="33"/>
  <c r="G235" i="33" s="1"/>
  <c r="H25" i="26"/>
  <c r="H221" i="26" s="1"/>
  <c r="G41" i="33"/>
  <c r="G247" i="33" s="1"/>
  <c r="G43" i="33"/>
  <c r="G249" i="33" s="1"/>
  <c r="J224" i="38"/>
  <c r="C225" i="21"/>
  <c r="D134" i="7"/>
  <c r="G134" i="7"/>
  <c r="G39" i="7"/>
  <c r="C134" i="7"/>
  <c r="L218" i="38"/>
  <c r="C112" i="8"/>
  <c r="K246" i="51"/>
  <c r="L224" i="38"/>
  <c r="B207" i="34"/>
  <c r="B240" i="34"/>
  <c r="L93" i="38"/>
  <c r="C243" i="34"/>
  <c r="J218" i="38"/>
  <c r="H28" i="26"/>
  <c r="H224" i="26" s="1"/>
  <c r="H17" i="26"/>
  <c r="H213" i="26" s="1"/>
  <c r="H23" i="26"/>
  <c r="H219" i="26" s="1"/>
  <c r="D246" i="22"/>
  <c r="H214" i="26"/>
  <c r="B214" i="26"/>
  <c r="B231" i="34"/>
  <c r="B230" i="34"/>
  <c r="E221" i="21"/>
  <c r="C52" i="33"/>
  <c r="C258" i="33" s="1"/>
  <c r="C240" i="34"/>
  <c r="L30" i="26"/>
  <c r="L226" i="26" s="1"/>
  <c r="G237" i="33"/>
  <c r="B210" i="34"/>
  <c r="M13" i="28"/>
  <c r="M209" i="28" s="1"/>
  <c r="B208" i="34"/>
  <c r="E334" i="38"/>
  <c r="J334" i="38" s="1"/>
  <c r="K222" i="38"/>
  <c r="L222" i="38"/>
  <c r="C105" i="8"/>
  <c r="B105" i="8"/>
  <c r="C214" i="26"/>
  <c r="L14" i="28"/>
  <c r="L23" i="28" s="1"/>
  <c r="L219" i="28" s="1"/>
  <c r="D234" i="33"/>
  <c r="D35" i="33"/>
  <c r="D52" i="33" s="1"/>
  <c r="D258" i="33" s="1"/>
  <c r="E191" i="38"/>
  <c r="H20" i="26"/>
  <c r="H22" i="26"/>
  <c r="F226" i="26"/>
  <c r="H27" i="26"/>
  <c r="H26" i="26"/>
  <c r="H24" i="26"/>
  <c r="H19" i="26"/>
  <c r="L194" i="38"/>
  <c r="J194" i="38"/>
  <c r="K194" i="38"/>
  <c r="G14" i="28"/>
  <c r="G23" i="28" s="1"/>
  <c r="Q9" i="27"/>
  <c r="Q204" i="27" s="1"/>
  <c r="J204" i="38"/>
  <c r="J182" i="38"/>
  <c r="L182" i="38"/>
  <c r="K182" i="38"/>
  <c r="M230" i="29"/>
  <c r="Q34" i="29"/>
  <c r="Q230" i="29" s="1"/>
  <c r="M36" i="29"/>
  <c r="E130" i="38"/>
  <c r="K134" i="38" s="1"/>
  <c r="K249" i="21"/>
  <c r="C218" i="21"/>
  <c r="J112" i="38"/>
  <c r="L112" i="38"/>
  <c r="K112" i="38"/>
  <c r="K331" i="38"/>
  <c r="C241" i="33"/>
  <c r="I216" i="38"/>
  <c r="J23" i="28"/>
  <c r="J219" i="28" s="1"/>
  <c r="J210" i="28"/>
  <c r="J205" i="26"/>
  <c r="N9" i="26"/>
  <c r="N205" i="26" s="1"/>
  <c r="L9" i="26"/>
  <c r="L205" i="26" s="1"/>
  <c r="C208" i="28"/>
  <c r="B208" i="28"/>
  <c r="J206" i="34"/>
  <c r="I206" i="34"/>
  <c r="C256" i="33"/>
  <c r="L204" i="38"/>
  <c r="B218" i="21"/>
  <c r="L174" i="38"/>
  <c r="J174" i="38"/>
  <c r="K174" i="38"/>
  <c r="K210" i="28"/>
  <c r="K23" i="28"/>
  <c r="K219" i="28" s="1"/>
  <c r="D234" i="50"/>
  <c r="J44" i="34"/>
  <c r="B234" i="50"/>
  <c r="C298" i="33"/>
  <c r="B298" i="33"/>
  <c r="B285" i="33"/>
  <c r="C285" i="33"/>
  <c r="J34" i="34"/>
  <c r="C84" i="33"/>
  <c r="E332" i="38"/>
  <c r="G111" i="8"/>
  <c r="G21" i="8"/>
  <c r="G115" i="8" s="1"/>
  <c r="B216" i="33"/>
  <c r="C216" i="33"/>
  <c r="J180" i="38"/>
  <c r="K180" i="38"/>
  <c r="L180" i="38"/>
  <c r="D229" i="50"/>
  <c r="B229" i="50"/>
  <c r="B112" i="8"/>
  <c r="L92" i="33"/>
  <c r="C92" i="33" s="1"/>
  <c r="D212" i="50"/>
  <c r="D17" i="50"/>
  <c r="B214" i="50" s="1"/>
  <c r="D36" i="50"/>
  <c r="B233" i="50" s="1"/>
  <c r="D38" i="50"/>
  <c r="B235" i="50" s="1"/>
  <c r="J230" i="34"/>
  <c r="I230" i="34"/>
  <c r="H42" i="4"/>
  <c r="B196" i="25"/>
  <c r="G57" i="33"/>
  <c r="K196" i="25"/>
  <c r="K29" i="34"/>
  <c r="H219" i="21"/>
  <c r="K13" i="21"/>
  <c r="L219" i="21" s="1"/>
  <c r="I13" i="21"/>
  <c r="E17" i="8"/>
  <c r="E21" i="8" s="1"/>
  <c r="B251" i="9"/>
  <c r="F251" i="9"/>
  <c r="D27" i="34"/>
  <c r="K34" i="29"/>
  <c r="K230" i="29" s="1"/>
  <c r="K254" i="38"/>
  <c r="J331" i="38"/>
  <c r="E229" i="21"/>
  <c r="E45" i="21"/>
  <c r="E251" i="21" s="1"/>
  <c r="G23" i="21"/>
  <c r="K15" i="21"/>
  <c r="L221" i="21" s="1"/>
  <c r="H221" i="21"/>
  <c r="K218" i="21"/>
  <c r="B236" i="35"/>
  <c r="C236" i="35"/>
  <c r="C233" i="36"/>
  <c r="B233" i="36"/>
  <c r="I236" i="34"/>
  <c r="J236" i="34"/>
  <c r="E41" i="33"/>
  <c r="E247" i="33" s="1"/>
  <c r="E43" i="33"/>
  <c r="L192" i="38"/>
  <c r="K192" i="38"/>
  <c r="I9" i="27"/>
  <c r="I115" i="5"/>
  <c r="I9" i="38"/>
  <c r="E27" i="8"/>
  <c r="J10" i="26"/>
  <c r="J206" i="26" s="1"/>
  <c r="G160" i="6"/>
  <c r="B22" i="41"/>
  <c r="B24" i="41" s="1"/>
  <c r="D17" i="41"/>
  <c r="E9" i="8"/>
  <c r="E103" i="8" s="1"/>
  <c r="F222" i="9"/>
  <c r="L8" i="26"/>
  <c r="J204" i="26"/>
  <c r="N8" i="26"/>
  <c r="L254" i="38"/>
  <c r="G236" i="35"/>
  <c r="F236" i="35"/>
  <c r="E236" i="35"/>
  <c r="H236" i="35"/>
  <c r="C113" i="8"/>
  <c r="B113" i="8"/>
  <c r="E113" i="8"/>
  <c r="I230" i="29"/>
  <c r="I36" i="29"/>
  <c r="H216" i="9"/>
  <c r="H15" i="9"/>
  <c r="B216" i="9"/>
  <c r="P8" i="26"/>
  <c r="I61" i="6"/>
  <c r="I158" i="6"/>
  <c r="C213" i="27"/>
  <c r="H233" i="36"/>
  <c r="E233" i="36"/>
  <c r="G233" i="36"/>
  <c r="F233" i="36"/>
  <c r="E211" i="34"/>
  <c r="F27" i="34"/>
  <c r="D256" i="33"/>
  <c r="I220" i="38"/>
  <c r="C205" i="27"/>
  <c r="B205" i="27"/>
  <c r="I205" i="27"/>
  <c r="E225" i="38"/>
  <c r="E44" i="51"/>
  <c r="E219" i="38"/>
  <c r="E263" i="51"/>
  <c r="B207" i="27"/>
  <c r="C207" i="27"/>
  <c r="I207" i="27"/>
  <c r="B210" i="27"/>
  <c r="I210" i="27"/>
  <c r="C210" i="27"/>
  <c r="B211" i="27"/>
  <c r="C211" i="27"/>
  <c r="I211" i="27"/>
  <c r="K198" i="38"/>
  <c r="L198" i="38"/>
  <c r="J198" i="38"/>
  <c r="I208" i="27"/>
  <c r="B208" i="27"/>
  <c r="C208" i="27"/>
  <c r="C206" i="27"/>
  <c r="B206" i="27"/>
  <c r="I206" i="27"/>
  <c r="H94" i="33"/>
  <c r="H87" i="33"/>
  <c r="H89" i="33" s="1"/>
  <c r="H289" i="33"/>
  <c r="F289" i="33"/>
  <c r="P226" i="26"/>
  <c r="H235" i="50"/>
  <c r="H233" i="50"/>
  <c r="M42" i="51"/>
  <c r="O34" i="51"/>
  <c r="O255" i="51" s="1"/>
  <c r="O31" i="51"/>
  <c r="O252" i="51" s="1"/>
  <c r="O26" i="51"/>
  <c r="O249" i="51" s="1"/>
  <c r="O40" i="51"/>
  <c r="O261" i="51" s="1"/>
  <c r="O28" i="51"/>
  <c r="O251" i="51" s="1"/>
  <c r="O35" i="51"/>
  <c r="O256" i="51" s="1"/>
  <c r="M261" i="51"/>
  <c r="O32" i="51"/>
  <c r="O253" i="51" s="1"/>
  <c r="O37" i="51"/>
  <c r="O258" i="51" s="1"/>
  <c r="O38" i="51"/>
  <c r="O259" i="51" s="1"/>
  <c r="O27" i="51"/>
  <c r="O250" i="51" s="1"/>
  <c r="O30" i="51"/>
  <c r="O29" i="51"/>
  <c r="O36" i="51"/>
  <c r="O257" i="51" s="1"/>
  <c r="O33" i="51"/>
  <c r="O254" i="51" s="1"/>
  <c r="I221" i="38"/>
  <c r="F256" i="33"/>
  <c r="F52" i="33"/>
  <c r="F258" i="33" s="1"/>
  <c r="I203" i="27"/>
  <c r="C203" i="27"/>
  <c r="B203" i="27"/>
  <c r="I209" i="27"/>
  <c r="C209" i="27"/>
  <c r="B209" i="27"/>
  <c r="I36" i="51"/>
  <c r="I33" i="51"/>
  <c r="I28" i="51"/>
  <c r="I32" i="51"/>
  <c r="I35" i="51"/>
  <c r="G261" i="51"/>
  <c r="I34" i="51"/>
  <c r="I40" i="51"/>
  <c r="I261" i="51" s="1"/>
  <c r="I37" i="51"/>
  <c r="I31" i="51"/>
  <c r="G42" i="51"/>
  <c r="I27" i="51"/>
  <c r="I38" i="51"/>
  <c r="I26" i="51"/>
  <c r="I30" i="51"/>
  <c r="I29" i="51"/>
  <c r="L333" i="38"/>
  <c r="K333" i="38"/>
  <c r="J333" i="38"/>
  <c r="F297" i="33"/>
  <c r="H297" i="33"/>
  <c r="C233" i="34"/>
  <c r="K40" i="51"/>
  <c r="J197" i="38"/>
  <c r="L197" i="38"/>
  <c r="K197" i="38"/>
  <c r="G250" i="33"/>
  <c r="H214" i="50"/>
  <c r="H34" i="50"/>
  <c r="I225" i="38" l="1"/>
  <c r="D222" i="34"/>
  <c r="C37" i="34"/>
  <c r="C232" i="34" s="1"/>
  <c r="F222" i="34"/>
  <c r="D37" i="34"/>
  <c r="D29" i="34"/>
  <c r="C33" i="34" s="1"/>
  <c r="B209" i="34"/>
  <c r="L210" i="28"/>
  <c r="I226" i="38"/>
  <c r="E19" i="34"/>
  <c r="C222" i="34"/>
  <c r="E253" i="33"/>
  <c r="B253" i="33"/>
  <c r="B252" i="33"/>
  <c r="E251" i="33"/>
  <c r="B251" i="33"/>
  <c r="G44" i="33"/>
  <c r="G248" i="33" s="1"/>
  <c r="B250" i="33"/>
  <c r="E44" i="33"/>
  <c r="E248" i="33" s="1"/>
  <c r="E126" i="7"/>
  <c r="E22" i="34"/>
  <c r="E217" i="34" s="1"/>
  <c r="E21" i="34"/>
  <c r="E216" i="34" s="1"/>
  <c r="B255" i="33"/>
  <c r="G16" i="34"/>
  <c r="G211" i="34" s="1"/>
  <c r="C280" i="33"/>
  <c r="E104" i="8"/>
  <c r="H280" i="33"/>
  <c r="B126" i="8"/>
  <c r="C219" i="26"/>
  <c r="C104" i="8"/>
  <c r="B221" i="26"/>
  <c r="C213" i="26"/>
  <c r="C221" i="26"/>
  <c r="G35" i="33"/>
  <c r="G241" i="33" s="1"/>
  <c r="E25" i="34"/>
  <c r="E220" i="34" s="1"/>
  <c r="E23" i="34"/>
  <c r="E218" i="34" s="1"/>
  <c r="E24" i="34"/>
  <c r="E219" i="34" s="1"/>
  <c r="E26" i="34"/>
  <c r="E221" i="34" s="1"/>
  <c r="B209" i="28"/>
  <c r="E254" i="33"/>
  <c r="B254" i="33"/>
  <c r="G136" i="7"/>
  <c r="D136" i="7"/>
  <c r="G17" i="5"/>
  <c r="F36" i="4"/>
  <c r="E101" i="38"/>
  <c r="E94" i="38"/>
  <c r="G22" i="34"/>
  <c r="G217" i="34" s="1"/>
  <c r="B219" i="26"/>
  <c r="B213" i="26"/>
  <c r="D209" i="28"/>
  <c r="C209" i="28"/>
  <c r="B204" i="27"/>
  <c r="M14" i="28"/>
  <c r="M23" i="28" s="1"/>
  <c r="B219" i="28" s="1"/>
  <c r="B247" i="33"/>
  <c r="G24" i="34"/>
  <c r="G219" i="34" s="1"/>
  <c r="K334" i="38"/>
  <c r="L334" i="38"/>
  <c r="I227" i="38"/>
  <c r="G19" i="34"/>
  <c r="G210" i="28"/>
  <c r="H220" i="26"/>
  <c r="B220" i="26"/>
  <c r="C220" i="26"/>
  <c r="H223" i="26"/>
  <c r="C223" i="26"/>
  <c r="B223" i="26"/>
  <c r="H218" i="26"/>
  <c r="C218" i="26"/>
  <c r="B218" i="26"/>
  <c r="K191" i="38"/>
  <c r="J191" i="38"/>
  <c r="L191" i="38"/>
  <c r="H215" i="26"/>
  <c r="B215" i="26"/>
  <c r="C215" i="26"/>
  <c r="H222" i="26"/>
  <c r="C222" i="26"/>
  <c r="B222" i="26"/>
  <c r="H216" i="26"/>
  <c r="H30" i="26"/>
  <c r="E30" i="33"/>
  <c r="E33" i="33"/>
  <c r="E28" i="33"/>
  <c r="D241" i="33"/>
  <c r="E34" i="33"/>
  <c r="E31" i="33"/>
  <c r="E32" i="33"/>
  <c r="I217" i="38"/>
  <c r="J273" i="38"/>
  <c r="I244" i="38"/>
  <c r="I247" i="38" s="1"/>
  <c r="J134" i="38"/>
  <c r="L134" i="38"/>
  <c r="Q36" i="29"/>
  <c r="Q232" i="29" s="1"/>
  <c r="D38" i="34"/>
  <c r="M232" i="29"/>
  <c r="G26" i="34"/>
  <c r="G221" i="34" s="1"/>
  <c r="G25" i="34"/>
  <c r="G220" i="34" s="1"/>
  <c r="F29" i="34"/>
  <c r="F224" i="34" s="1"/>
  <c r="G23" i="34"/>
  <c r="G218" i="34" s="1"/>
  <c r="J216" i="38"/>
  <c r="L216" i="38"/>
  <c r="K216" i="38"/>
  <c r="K219" i="21"/>
  <c r="B219" i="21"/>
  <c r="D214" i="50"/>
  <c r="D34" i="50"/>
  <c r="D231" i="50" s="1"/>
  <c r="J229" i="34"/>
  <c r="J38" i="34"/>
  <c r="E335" i="38"/>
  <c r="I229" i="34"/>
  <c r="B263" i="33"/>
  <c r="G263" i="33"/>
  <c r="E111" i="8"/>
  <c r="B111" i="8"/>
  <c r="C111" i="8"/>
  <c r="J45" i="34"/>
  <c r="D235" i="50"/>
  <c r="B297" i="33"/>
  <c r="C297" i="33"/>
  <c r="L332" i="38"/>
  <c r="J332" i="38"/>
  <c r="K332" i="38"/>
  <c r="J239" i="34"/>
  <c r="I239" i="34"/>
  <c r="C205" i="26"/>
  <c r="C261" i="51"/>
  <c r="G21" i="34"/>
  <c r="G216" i="34" s="1"/>
  <c r="I15" i="21"/>
  <c r="B221" i="21" s="1"/>
  <c r="C219" i="21"/>
  <c r="K224" i="34"/>
  <c r="I224" i="34"/>
  <c r="H140" i="4"/>
  <c r="B140" i="4"/>
  <c r="J43" i="34"/>
  <c r="D233" i="50"/>
  <c r="B289" i="33"/>
  <c r="C87" i="33"/>
  <c r="C289" i="33"/>
  <c r="C94" i="33"/>
  <c r="B230" i="29"/>
  <c r="I204" i="27"/>
  <c r="G45" i="21"/>
  <c r="H229" i="21"/>
  <c r="K23" i="21"/>
  <c r="L229" i="21" s="1"/>
  <c r="K36" i="29"/>
  <c r="K232" i="29" s="1"/>
  <c r="F294" i="33"/>
  <c r="H294" i="33"/>
  <c r="E249" i="33"/>
  <c r="B249" i="33"/>
  <c r="C204" i="27"/>
  <c r="J9" i="38"/>
  <c r="L9" i="38"/>
  <c r="K9" i="38"/>
  <c r="N204" i="26"/>
  <c r="N10" i="26"/>
  <c r="N206" i="26" s="1"/>
  <c r="L204" i="26"/>
  <c r="L10" i="26"/>
  <c r="L206" i="26" s="1"/>
  <c r="E30" i="8"/>
  <c r="E121" i="8"/>
  <c r="D22" i="41"/>
  <c r="E21" i="41"/>
  <c r="D20" i="41"/>
  <c r="E22" i="41"/>
  <c r="D21" i="41"/>
  <c r="E20" i="41"/>
  <c r="D23" i="41"/>
  <c r="E23" i="41"/>
  <c r="G219" i="28"/>
  <c r="E13" i="8"/>
  <c r="P204" i="26"/>
  <c r="C204" i="26"/>
  <c r="G9" i="8"/>
  <c r="H222" i="9"/>
  <c r="B222" i="9"/>
  <c r="C22" i="41"/>
  <c r="C24" i="41" s="1"/>
  <c r="G27" i="8"/>
  <c r="E17" i="41"/>
  <c r="P10" i="26"/>
  <c r="I160" i="6"/>
  <c r="B61" i="6"/>
  <c r="I199" i="38"/>
  <c r="I201" i="38" s="1"/>
  <c r="I232" i="29"/>
  <c r="B115" i="8"/>
  <c r="E115" i="8"/>
  <c r="G44" i="51"/>
  <c r="G265" i="51" s="1"/>
  <c r="E220" i="38"/>
  <c r="G263" i="51"/>
  <c r="E226" i="38"/>
  <c r="C255" i="51"/>
  <c r="I255" i="51"/>
  <c r="I251" i="51"/>
  <c r="C251" i="51"/>
  <c r="E214" i="34"/>
  <c r="F292" i="33"/>
  <c r="H292" i="33"/>
  <c r="J225" i="38"/>
  <c r="K225" i="38"/>
  <c r="L225" i="38"/>
  <c r="K261" i="51"/>
  <c r="K42" i="51"/>
  <c r="C263" i="51" s="1"/>
  <c r="I250" i="51"/>
  <c r="C250" i="51"/>
  <c r="I253" i="51"/>
  <c r="C253" i="51"/>
  <c r="M263" i="51"/>
  <c r="E227" i="38"/>
  <c r="M44" i="51"/>
  <c r="M265" i="51" s="1"/>
  <c r="E221" i="38"/>
  <c r="E265" i="51"/>
  <c r="I259" i="51"/>
  <c r="C259" i="51"/>
  <c r="I258" i="51"/>
  <c r="C258" i="51"/>
  <c r="I256" i="51"/>
  <c r="C256" i="51"/>
  <c r="C257" i="51"/>
  <c r="I257" i="51"/>
  <c r="H231" i="50"/>
  <c r="C224" i="34"/>
  <c r="I249" i="51"/>
  <c r="C249" i="51"/>
  <c r="I252" i="51"/>
  <c r="C252" i="51"/>
  <c r="C254" i="51"/>
  <c r="I254" i="51"/>
  <c r="F299" i="33"/>
  <c r="H299" i="33"/>
  <c r="L219" i="38"/>
  <c r="J219" i="38"/>
  <c r="K219" i="38"/>
  <c r="D224" i="34" l="1"/>
  <c r="D232" i="34"/>
  <c r="B232" i="34"/>
  <c r="B214" i="34"/>
  <c r="G50" i="33"/>
  <c r="G256" i="33" s="1"/>
  <c r="B248" i="33"/>
  <c r="E50" i="33"/>
  <c r="E256" i="33" s="1"/>
  <c r="B221" i="34"/>
  <c r="B219" i="34"/>
  <c r="E20" i="34"/>
  <c r="E27" i="34" s="1"/>
  <c r="E222" i="34" s="1"/>
  <c r="B211" i="34"/>
  <c r="B217" i="34"/>
  <c r="G20" i="34"/>
  <c r="G215" i="34" s="1"/>
  <c r="C18" i="33"/>
  <c r="F134" i="4"/>
  <c r="J16" i="34"/>
  <c r="H18" i="33"/>
  <c r="G113" i="5"/>
  <c r="G19" i="5"/>
  <c r="B113" i="5"/>
  <c r="J25" i="34"/>
  <c r="F113" i="5"/>
  <c r="L94" i="38"/>
  <c r="K94" i="38"/>
  <c r="J94" i="38"/>
  <c r="J101" i="38"/>
  <c r="L101" i="38"/>
  <c r="K101" i="38"/>
  <c r="B210" i="28"/>
  <c r="M210" i="28"/>
  <c r="D33" i="34"/>
  <c r="D228" i="34" s="1"/>
  <c r="G214" i="34"/>
  <c r="K273" i="38"/>
  <c r="B216" i="34"/>
  <c r="B218" i="34"/>
  <c r="J217" i="38"/>
  <c r="L217" i="38"/>
  <c r="K217" i="38"/>
  <c r="E237" i="33"/>
  <c r="B237" i="33"/>
  <c r="E240" i="33"/>
  <c r="B240" i="33"/>
  <c r="B234" i="33"/>
  <c r="E234" i="33"/>
  <c r="E236" i="33"/>
  <c r="B236" i="33"/>
  <c r="E238" i="33"/>
  <c r="B238" i="33"/>
  <c r="E239" i="33"/>
  <c r="B239" i="33"/>
  <c r="H226" i="26"/>
  <c r="C226" i="26"/>
  <c r="E29" i="33"/>
  <c r="D233" i="34"/>
  <c r="B233" i="34"/>
  <c r="B232" i="29"/>
  <c r="E127" i="38"/>
  <c r="J127" i="38" s="1"/>
  <c r="B220" i="34"/>
  <c r="I23" i="21"/>
  <c r="K229" i="21" s="1"/>
  <c r="K221" i="21"/>
  <c r="B231" i="50"/>
  <c r="J335" i="38"/>
  <c r="L335" i="38"/>
  <c r="K335" i="38"/>
  <c r="B292" i="33"/>
  <c r="C89" i="33"/>
  <c r="C292" i="33"/>
  <c r="C299" i="33"/>
  <c r="B299" i="33"/>
  <c r="I240" i="34"/>
  <c r="J240" i="34"/>
  <c r="J233" i="34"/>
  <c r="I233" i="34"/>
  <c r="J40" i="34"/>
  <c r="C221" i="21"/>
  <c r="I238" i="34"/>
  <c r="J238" i="34"/>
  <c r="H251" i="21"/>
  <c r="K45" i="21"/>
  <c r="L251" i="21" s="1"/>
  <c r="L273" i="38"/>
  <c r="J201" i="38"/>
  <c r="L201" i="38"/>
  <c r="K201" i="38"/>
  <c r="E24" i="41"/>
  <c r="D29" i="41"/>
  <c r="D30" i="41"/>
  <c r="D40" i="41"/>
  <c r="M219" i="28"/>
  <c r="M25" i="28"/>
  <c r="M221" i="28" s="1"/>
  <c r="D31" i="41"/>
  <c r="E23" i="8"/>
  <c r="E107" i="8"/>
  <c r="E124" i="8"/>
  <c r="E34" i="8"/>
  <c r="D24" i="41"/>
  <c r="L247" i="38"/>
  <c r="K247" i="38"/>
  <c r="J247" i="38"/>
  <c r="B160" i="6"/>
  <c r="C10" i="26"/>
  <c r="C206" i="26" s="1"/>
  <c r="B27" i="8"/>
  <c r="B121" i="8" s="1"/>
  <c r="B52" i="33"/>
  <c r="B258" i="33" s="1"/>
  <c r="B29" i="34"/>
  <c r="B224" i="34" s="1"/>
  <c r="P206" i="26"/>
  <c r="G121" i="8"/>
  <c r="G30" i="8"/>
  <c r="G103" i="8"/>
  <c r="G13" i="8"/>
  <c r="C103" i="8"/>
  <c r="B103" i="8"/>
  <c r="J199" i="38"/>
  <c r="G23" i="41"/>
  <c r="H20" i="41"/>
  <c r="H21" i="41"/>
  <c r="G20" i="41"/>
  <c r="H23" i="41"/>
  <c r="G31" i="41" s="1"/>
  <c r="H22" i="41"/>
  <c r="G21" i="41"/>
  <c r="G22" i="41"/>
  <c r="K221" i="38"/>
  <c r="J221" i="38"/>
  <c r="L221" i="38"/>
  <c r="L220" i="38"/>
  <c r="J220" i="38"/>
  <c r="K220" i="38"/>
  <c r="C228" i="34"/>
  <c r="K227" i="38"/>
  <c r="L227" i="38"/>
  <c r="J227" i="38"/>
  <c r="K263" i="51"/>
  <c r="K44" i="51"/>
  <c r="K226" i="38"/>
  <c r="L226" i="38"/>
  <c r="J226" i="38"/>
  <c r="E215" i="34" l="1"/>
  <c r="G27" i="34"/>
  <c r="G222" i="34" s="1"/>
  <c r="B215" i="34"/>
  <c r="J220" i="34"/>
  <c r="I220" i="34"/>
  <c r="H224" i="33"/>
  <c r="F224" i="33"/>
  <c r="J211" i="34"/>
  <c r="I211" i="34"/>
  <c r="B115" i="5"/>
  <c r="F115" i="5"/>
  <c r="G115" i="5"/>
  <c r="B111" i="5" s="1"/>
  <c r="I8" i="38"/>
  <c r="E134" i="4"/>
  <c r="B134" i="4"/>
  <c r="C224" i="33"/>
  <c r="B224" i="33"/>
  <c r="B223" i="33"/>
  <c r="B228" i="34"/>
  <c r="E235" i="33"/>
  <c r="B235" i="33"/>
  <c r="E35" i="33"/>
  <c r="E241" i="33" s="1"/>
  <c r="I45" i="21"/>
  <c r="C251" i="21" s="1"/>
  <c r="K127" i="38"/>
  <c r="L127" i="38"/>
  <c r="C229" i="21"/>
  <c r="J42" i="34"/>
  <c r="J235" i="34"/>
  <c r="I235" i="34"/>
  <c r="C294" i="33"/>
  <c r="B294" i="33"/>
  <c r="I113" i="38"/>
  <c r="E128" i="8"/>
  <c r="E25" i="41"/>
  <c r="F28" i="4"/>
  <c r="F126" i="4" s="1"/>
  <c r="F25" i="4"/>
  <c r="F26" i="4"/>
  <c r="F124" i="4" s="1"/>
  <c r="F27" i="4"/>
  <c r="F125" i="4" s="1"/>
  <c r="F29" i="4"/>
  <c r="G28" i="5"/>
  <c r="G124" i="5" s="1"/>
  <c r="D25" i="41"/>
  <c r="G30" i="5"/>
  <c r="G126" i="5" s="1"/>
  <c r="G27" i="5"/>
  <c r="G31" i="5"/>
  <c r="G29" i="5"/>
  <c r="G125" i="5" s="1"/>
  <c r="E117" i="8"/>
  <c r="E113" i="38"/>
  <c r="G30" i="41"/>
  <c r="G40" i="41"/>
  <c r="G124" i="8"/>
  <c r="G34" i="8"/>
  <c r="G29" i="41"/>
  <c r="H24" i="41"/>
  <c r="G107" i="8"/>
  <c r="G23" i="8"/>
  <c r="B107" i="8"/>
  <c r="G24" i="41"/>
  <c r="K265" i="51"/>
  <c r="C265" i="51"/>
  <c r="B222" i="34" l="1"/>
  <c r="L8" i="38"/>
  <c r="J8" i="38"/>
  <c r="K8" i="38"/>
  <c r="I22" i="38"/>
  <c r="L22" i="38" s="1"/>
  <c r="K251" i="21"/>
  <c r="I34" i="38"/>
  <c r="K34" i="38" s="1"/>
  <c r="I237" i="34"/>
  <c r="J237" i="34"/>
  <c r="E30" i="38"/>
  <c r="E33" i="38" s="1"/>
  <c r="L33" i="38" s="1"/>
  <c r="G36" i="5"/>
  <c r="H14" i="33"/>
  <c r="G127" i="5"/>
  <c r="J24" i="34"/>
  <c r="E14" i="38"/>
  <c r="F123" i="4"/>
  <c r="D32" i="41"/>
  <c r="K113" i="38"/>
  <c r="J113" i="38"/>
  <c r="L113" i="38"/>
  <c r="G123" i="5"/>
  <c r="E15" i="38"/>
  <c r="J14" i="34"/>
  <c r="C34" i="34" s="1"/>
  <c r="F127" i="4"/>
  <c r="F39" i="4"/>
  <c r="C15" i="33"/>
  <c r="I30" i="5"/>
  <c r="I28" i="5"/>
  <c r="I29" i="5"/>
  <c r="I27" i="5"/>
  <c r="G25" i="41"/>
  <c r="I31" i="5"/>
  <c r="G117" i="8"/>
  <c r="E114" i="38"/>
  <c r="B23" i="8"/>
  <c r="B117" i="8" s="1"/>
  <c r="H26" i="4"/>
  <c r="H28" i="4"/>
  <c r="H25" i="4"/>
  <c r="H25" i="41"/>
  <c r="G32" i="41" s="1"/>
  <c r="H29" i="4"/>
  <c r="I14" i="38" s="1"/>
  <c r="H27" i="4"/>
  <c r="I114" i="38"/>
  <c r="G128" i="8"/>
  <c r="B34" i="8"/>
  <c r="B128" i="8" s="1"/>
  <c r="J34" i="38" l="1"/>
  <c r="J22" i="38"/>
  <c r="K22" i="38"/>
  <c r="L34" i="38"/>
  <c r="J33" i="38"/>
  <c r="K33" i="38"/>
  <c r="C229" i="34"/>
  <c r="C221" i="33"/>
  <c r="C20" i="33"/>
  <c r="C226" i="33" s="1"/>
  <c r="G137" i="5"/>
  <c r="I20" i="38"/>
  <c r="J41" i="4"/>
  <c r="F137" i="4"/>
  <c r="E20" i="38"/>
  <c r="J209" i="34"/>
  <c r="J17" i="34"/>
  <c r="J212" i="34" s="1"/>
  <c r="D37" i="41"/>
  <c r="D38" i="41"/>
  <c r="D36" i="41"/>
  <c r="D35" i="41"/>
  <c r="J219" i="34"/>
  <c r="J26" i="34"/>
  <c r="J221" i="34" s="1"/>
  <c r="H220" i="33"/>
  <c r="H20" i="33"/>
  <c r="H226" i="33" s="1"/>
  <c r="G114" i="38"/>
  <c r="G113" i="38"/>
  <c r="H125" i="4"/>
  <c r="E125" i="4"/>
  <c r="B27" i="4"/>
  <c r="B125" i="4" s="1"/>
  <c r="G35" i="41"/>
  <c r="G36" i="41"/>
  <c r="G37" i="41"/>
  <c r="G38" i="41"/>
  <c r="H126" i="4"/>
  <c r="E126" i="4"/>
  <c r="B126" i="4"/>
  <c r="G15" i="38"/>
  <c r="H127" i="4"/>
  <c r="F14" i="38"/>
  <c r="K14" i="34"/>
  <c r="D34" i="34" s="1"/>
  <c r="D229" i="34" s="1"/>
  <c r="H39" i="4"/>
  <c r="G14" i="38"/>
  <c r="D15" i="33"/>
  <c r="E127" i="4"/>
  <c r="K14" i="38"/>
  <c r="B127" i="4"/>
  <c r="J14" i="38"/>
  <c r="L14" i="38"/>
  <c r="H123" i="4"/>
  <c r="E123" i="4"/>
  <c r="B25" i="4"/>
  <c r="C14" i="38" s="1"/>
  <c r="H124" i="4"/>
  <c r="E124" i="4"/>
  <c r="B124" i="4"/>
  <c r="I125" i="5"/>
  <c r="B29" i="5"/>
  <c r="B125" i="5" s="1"/>
  <c r="F125" i="5"/>
  <c r="I126" i="5"/>
  <c r="F126" i="5"/>
  <c r="B126" i="5"/>
  <c r="C113" i="38"/>
  <c r="C114" i="38"/>
  <c r="J114" i="38"/>
  <c r="K114" i="38"/>
  <c r="L114" i="38"/>
  <c r="I14" i="33"/>
  <c r="K24" i="34"/>
  <c r="I36" i="5"/>
  <c r="I127" i="5"/>
  <c r="F15" i="38"/>
  <c r="F127" i="5"/>
  <c r="B127" i="5"/>
  <c r="L15" i="38"/>
  <c r="K15" i="38"/>
  <c r="J15" i="38"/>
  <c r="I15" i="38"/>
  <c r="I123" i="5"/>
  <c r="B27" i="5"/>
  <c r="C15" i="38" s="1"/>
  <c r="F123" i="5"/>
  <c r="I124" i="5"/>
  <c r="B124" i="5"/>
  <c r="F124" i="5"/>
  <c r="B123" i="4" l="1"/>
  <c r="B123" i="5"/>
  <c r="B229" i="34"/>
  <c r="L20" i="38"/>
  <c r="J20" i="38"/>
  <c r="K20" i="38"/>
  <c r="I21" i="38"/>
  <c r="I137" i="5"/>
  <c r="I220" i="33"/>
  <c r="I20" i="33"/>
  <c r="I226" i="33" s="1"/>
  <c r="F220" i="33"/>
  <c r="K17" i="34"/>
  <c r="K209" i="34"/>
  <c r="I209" i="34"/>
  <c r="B122" i="4"/>
  <c r="K219" i="34"/>
  <c r="K26" i="34"/>
  <c r="I219" i="34"/>
  <c r="D221" i="33"/>
  <c r="D20" i="33"/>
  <c r="D226" i="33" s="1"/>
  <c r="B221" i="33"/>
  <c r="B220" i="33"/>
  <c r="E21" i="38"/>
  <c r="H137" i="4"/>
  <c r="K41" i="4"/>
  <c r="B122" i="5"/>
  <c r="L21" i="38" l="1"/>
  <c r="K21" i="38"/>
  <c r="K221" i="34"/>
  <c r="I221" i="34"/>
  <c r="K212" i="34"/>
  <c r="I212" i="34"/>
</calcChain>
</file>

<file path=xl/comments1.xml><?xml version="1.0" encoding="utf-8"?>
<comments xmlns="http://schemas.openxmlformats.org/spreadsheetml/2006/main">
  <authors>
    <author>sarit</author>
  </authors>
  <commentList>
    <comment ref="B15" authorId="0">
      <text>
        <r>
          <rPr>
            <b/>
            <sz val="10"/>
            <color indexed="81"/>
            <rFont val="Tahoma"/>
            <family val="2"/>
          </rPr>
          <t>בשנת הביקורת הראשונה</t>
        </r>
        <r>
          <rPr>
            <b/>
            <sz val="8"/>
            <color indexed="81"/>
            <rFont val="Tahoma"/>
            <family val="2"/>
          </rPr>
          <t xml:space="preserve"> ברשות מקומית יש לשנות את המלל בפיסקה זו ובפיסקת חוות הדעת.</t>
        </r>
      </text>
    </comment>
  </commentList>
</comments>
</file>

<file path=xl/comments10.xml><?xml version="1.0" encoding="utf-8"?>
<comments xmlns="http://schemas.openxmlformats.org/spreadsheetml/2006/main">
  <authors>
    <author>שרית כהן</author>
  </authors>
  <commentList>
    <comment ref="J7" authorId="0">
      <text>
        <r>
          <rPr>
            <b/>
            <sz val="8"/>
            <color indexed="81"/>
            <rFont val="Tahoma"/>
            <family val="2"/>
          </rPr>
          <t>באם אין סעיף מסויים ברשות יש למחוק את הסעיף הרלוונטי ולמספר מחדש את הסעיפים הבאים.</t>
        </r>
        <r>
          <rPr>
            <sz val="8"/>
            <color indexed="81"/>
            <rFont val="Tahoma"/>
            <family val="2"/>
          </rPr>
          <t xml:space="preserve">
</t>
        </r>
      </text>
    </comment>
    <comment ref="J52" authorId="0">
      <text>
        <r>
          <rPr>
            <b/>
            <sz val="8"/>
            <color indexed="81"/>
            <rFont val="Tahoma"/>
            <family val="2"/>
          </rPr>
          <t>יש לעדכן לפי המצב ברשות.</t>
        </r>
      </text>
    </comment>
  </commentList>
</comments>
</file>

<file path=xl/comments11.xml><?xml version="1.0" encoding="utf-8"?>
<comments xmlns="http://schemas.openxmlformats.org/spreadsheetml/2006/main">
  <authors>
    <author>IBM_USER</author>
    <author>nehamap</author>
  </authors>
  <commentList>
    <comment ref="F7" authorId="0">
      <text>
        <r>
          <rPr>
            <sz val="11"/>
            <color indexed="81"/>
            <rFont val="Arial"/>
            <family val="2"/>
          </rPr>
          <t>ניתן להוסיף בעמודה כוכבית למיון מחדש</t>
        </r>
        <r>
          <rPr>
            <sz val="8"/>
            <color indexed="81"/>
            <rFont val="Tahoma"/>
            <family val="2"/>
          </rPr>
          <t xml:space="preserve">
</t>
        </r>
      </text>
    </comment>
    <comment ref="B140" authorId="1">
      <text>
        <r>
          <rPr>
            <sz val="11"/>
            <color indexed="81"/>
            <rFont val="Arial (Hebrew)"/>
            <family val="2"/>
            <charset val="177"/>
          </rPr>
          <t>קיזוזים מעודפים יוקלדו בפלוס. תוספות לעודפים יוקלדו במינוס</t>
        </r>
        <r>
          <rPr>
            <sz val="8"/>
            <color indexed="81"/>
            <rFont val="Tahoma"/>
            <family val="2"/>
          </rPr>
          <t xml:space="preserve">
</t>
        </r>
      </text>
    </comment>
    <comment ref="B146" authorId="1">
      <text>
        <r>
          <rPr>
            <sz val="11"/>
            <color indexed="81"/>
            <rFont val="Arial (Hebrew)"/>
            <family val="2"/>
            <charset val="177"/>
          </rPr>
          <t xml:space="preserve">תוצאת הסעיף משפיעה על המאזן תוך תלות בתוצאת השנה באופן הבא:
</t>
        </r>
        <r>
          <rPr>
            <b/>
            <sz val="11"/>
            <color indexed="81"/>
            <rFont val="Arial (Hebrew)"/>
            <family val="2"/>
            <charset val="177"/>
          </rPr>
          <t xml:space="preserve">סה"כ חיובי: </t>
        </r>
        <r>
          <rPr>
            <sz val="11"/>
            <color indexed="81"/>
            <rFont val="Arial (Hebrew)"/>
            <family val="2"/>
            <charset val="177"/>
          </rPr>
          <t xml:space="preserve">הגדלת עודף, הקטנת גרעון
</t>
        </r>
        <r>
          <rPr>
            <b/>
            <sz val="11"/>
            <color indexed="81"/>
            <rFont val="Arial (Hebrew)"/>
            <family val="2"/>
            <charset val="177"/>
          </rPr>
          <t>סה"כ שלילי:</t>
        </r>
        <r>
          <rPr>
            <sz val="11"/>
            <color indexed="81"/>
            <rFont val="Arial (Hebrew)"/>
            <family val="2"/>
            <charset val="177"/>
          </rPr>
          <t xml:space="preserve"> הקטנת עודף, הגדלת גרעון</t>
        </r>
        <r>
          <rPr>
            <sz val="8"/>
            <color indexed="81"/>
            <rFont val="Tahoma"/>
            <family val="2"/>
          </rPr>
          <t xml:space="preserve">
</t>
        </r>
      </text>
    </comment>
    <comment ref="B156" authorId="1">
      <text>
        <r>
          <rPr>
            <b/>
            <sz val="12"/>
            <color indexed="81"/>
            <rFont val="Arial (Hebrew)"/>
            <family val="2"/>
            <charset val="177"/>
          </rPr>
          <t>הפניה לסיווג / מיון מחדש יש להוסיף כאן</t>
        </r>
        <r>
          <rPr>
            <sz val="8"/>
            <color indexed="81"/>
            <rFont val="Tahoma"/>
            <family val="2"/>
          </rPr>
          <t xml:space="preserve">
</t>
        </r>
      </text>
    </comment>
  </commentList>
</comments>
</file>

<file path=xl/comments12.xml><?xml version="1.0" encoding="utf-8"?>
<comments xmlns="http://schemas.openxmlformats.org/spreadsheetml/2006/main">
  <authors>
    <author>IBM_USER</author>
    <author>nehamap</author>
    <author>שרית כהן</author>
  </authors>
  <commentList>
    <comment ref="H7" authorId="0">
      <text>
        <r>
          <rPr>
            <sz val="11"/>
            <color indexed="81"/>
            <rFont val="Arial"/>
            <family val="2"/>
          </rPr>
          <t>ניתן להוסיף בעמודה כוכבית למיון מחדש</t>
        </r>
        <r>
          <rPr>
            <sz val="8"/>
            <color indexed="81"/>
            <rFont val="Tahoma"/>
            <family val="2"/>
          </rPr>
          <t xml:space="preserve">
</t>
        </r>
      </text>
    </comment>
    <comment ref="E9" authorId="1">
      <text>
        <r>
          <rPr>
            <sz val="11"/>
            <color indexed="81"/>
            <rFont val="Arial (Hebrew)"/>
            <family val="2"/>
            <charset val="177"/>
          </rPr>
          <t>הנתון מגיע מביאור 3 ט</t>
        </r>
      </text>
    </comment>
    <comment ref="G9" authorId="1">
      <text>
        <r>
          <rPr>
            <sz val="11"/>
            <color indexed="81"/>
            <rFont val="Arial (Hebrew)"/>
            <family val="2"/>
            <charset val="177"/>
          </rPr>
          <t>הנתון מגיע מביאור 3 ט</t>
        </r>
      </text>
    </comment>
    <comment ref="B11" authorId="2">
      <text>
        <r>
          <rPr>
            <b/>
            <sz val="9"/>
            <color indexed="81"/>
            <rFont val="Tahoma"/>
            <family val="2"/>
          </rPr>
          <t xml:space="preserve">
כאשר ההחזר מהשנים הקודמות הינו בסכום מהותי, יש לתת הרכב בביאורים הנוספים . (יש לעדכן כאן את ההפניה למס' הביאור הרלוונטי)
אחרת, יש למחוק את הסוגריים.</t>
        </r>
      </text>
    </comment>
    <comment ref="B29" authorId="2">
      <text>
        <r>
          <rPr>
            <b/>
            <sz val="9"/>
            <color indexed="81"/>
            <rFont val="Tahoma"/>
            <family val="2"/>
          </rPr>
          <t xml:space="preserve">
כאשר ההוצאות בגין השנים הקודמות הינו בסכום מהותי, יש לתת הרכב בביאורים הנוספים . (יש לעדכן כאן את ההפניה למס' הביאור הרלוונטי)
אחרת, יש למחוק את הסוגריים.</t>
        </r>
      </text>
    </comment>
    <comment ref="B35" authorId="1">
      <text>
        <r>
          <rPr>
            <b/>
            <sz val="12"/>
            <color indexed="81"/>
            <rFont val="Arial (Hebrew)"/>
            <family val="2"/>
            <charset val="177"/>
          </rPr>
          <t>הפניה לסיווג / מיון מחדש יש להוסיף כאן</t>
        </r>
        <r>
          <rPr>
            <sz val="8"/>
            <color indexed="81"/>
            <rFont val="Tahoma"/>
            <family val="2"/>
          </rPr>
          <t xml:space="preserve">
</t>
        </r>
      </text>
    </comment>
  </commentList>
</comments>
</file>

<file path=xl/comments13.xml><?xml version="1.0" encoding="utf-8"?>
<comments xmlns="http://schemas.openxmlformats.org/spreadsheetml/2006/main">
  <authors>
    <author>nehamap</author>
  </authors>
  <commentList>
    <comment ref="A5" authorId="0">
      <text>
        <r>
          <rPr>
            <u/>
            <sz val="11"/>
            <color indexed="81"/>
            <rFont val="Arial"/>
            <family val="2"/>
          </rPr>
          <t>לתשומת לב:</t>
        </r>
        <r>
          <rPr>
            <sz val="11"/>
            <color indexed="81"/>
            <rFont val="Arial"/>
            <family val="2"/>
          </rPr>
          <t xml:space="preserve"> כל הטקסט בביאור ניתן לעריכה.</t>
        </r>
      </text>
    </comment>
    <comment ref="F12" authorId="0">
      <text>
        <r>
          <rPr>
            <b/>
            <sz val="10"/>
            <color indexed="81"/>
            <rFont val="Tahoma"/>
            <family val="2"/>
          </rPr>
          <t xml:space="preserve">עמודה זו כוללת </t>
        </r>
        <r>
          <rPr>
            <sz val="10"/>
            <color indexed="81"/>
            <rFont val="Tahoma"/>
            <family val="2"/>
          </rPr>
          <t>העברות</t>
        </r>
        <r>
          <rPr>
            <b/>
            <sz val="10"/>
            <color indexed="81"/>
            <rFont val="Tahoma"/>
            <family val="2"/>
          </rPr>
          <t xml:space="preserve"> </t>
        </r>
        <r>
          <rPr>
            <sz val="10"/>
            <color indexed="81"/>
            <rFont val="Tahoma"/>
            <family val="2"/>
          </rPr>
          <t>מקרנות אחרות והעברות ממקורות  נוספים לקרן ברשות, שיש לקזזן בהתאמות לטופס 4</t>
        </r>
        <r>
          <rPr>
            <sz val="9"/>
            <color indexed="81"/>
            <rFont val="Tahoma"/>
            <family val="2"/>
          </rPr>
          <t xml:space="preserve">
</t>
        </r>
      </text>
    </comment>
    <comment ref="B13" authorId="0">
      <text>
        <r>
          <rPr>
            <sz val="12"/>
            <color indexed="81"/>
            <rFont val="Arial (Hebrew)"/>
            <family val="2"/>
            <charset val="177"/>
          </rPr>
          <t>שמות הקרנות ניתנים לעדכון</t>
        </r>
      </text>
    </comment>
  </commentList>
</comments>
</file>

<file path=xl/comments14.xml><?xml version="1.0" encoding="utf-8"?>
<comments xmlns="http://schemas.openxmlformats.org/spreadsheetml/2006/main">
  <authors>
    <author>nehamap</author>
  </authors>
  <commentList>
    <comment ref="A8" authorId="0">
      <text>
        <r>
          <rPr>
            <u/>
            <sz val="11"/>
            <color indexed="81"/>
            <rFont val="Arial (Hebrew)"/>
          </rPr>
          <t>לתשומת לב:</t>
        </r>
        <r>
          <rPr>
            <sz val="11"/>
            <color indexed="81"/>
            <rFont val="Arial (Hebrew)"/>
          </rPr>
          <t xml:space="preserve"> כל תוכן הביאור (כולל כותרות) ניתן לעריכה</t>
        </r>
        <r>
          <rPr>
            <sz val="8"/>
            <color indexed="81"/>
            <rFont val="Tahoma"/>
            <family val="2"/>
          </rPr>
          <t xml:space="preserve">
</t>
        </r>
      </text>
    </comment>
    <comment ref="A9" authorId="0">
      <text>
        <r>
          <rPr>
            <u/>
            <sz val="11"/>
            <color indexed="81"/>
            <rFont val="Arial (Hebrew)"/>
          </rPr>
          <t>לתשומת לב:</t>
        </r>
        <r>
          <rPr>
            <sz val="11"/>
            <color indexed="81"/>
            <rFont val="Arial (Hebrew)"/>
          </rPr>
          <t xml:space="preserve"> תוכן הסעיף ניתן לעריכה או למחיקה</t>
        </r>
        <r>
          <rPr>
            <sz val="8"/>
            <color indexed="81"/>
            <rFont val="Tahoma"/>
            <family val="2"/>
          </rPr>
          <t xml:space="preserve">
</t>
        </r>
      </text>
    </comment>
    <comment ref="A13" authorId="0">
      <text>
        <r>
          <rPr>
            <u/>
            <sz val="11"/>
            <color indexed="81"/>
            <rFont val="Arial (Hebrew)"/>
          </rPr>
          <t>לתשומת לב:</t>
        </r>
        <r>
          <rPr>
            <sz val="11"/>
            <color indexed="81"/>
            <rFont val="Arial (Hebrew)"/>
          </rPr>
          <t xml:space="preserve"> תוכן הסעיף ניתן לעריכה או למחיקה</t>
        </r>
        <r>
          <rPr>
            <sz val="8"/>
            <color indexed="81"/>
            <rFont val="Tahoma"/>
            <family val="2"/>
          </rPr>
          <t xml:space="preserve">
</t>
        </r>
      </text>
    </comment>
    <comment ref="A19" authorId="0">
      <text>
        <r>
          <rPr>
            <u/>
            <sz val="11"/>
            <color indexed="81"/>
            <rFont val="Arial (Hebrew)"/>
          </rPr>
          <t>לתשומת לב:</t>
        </r>
        <r>
          <rPr>
            <sz val="11"/>
            <color indexed="81"/>
            <rFont val="Arial (Hebrew)"/>
          </rPr>
          <t xml:space="preserve"> תוכן הסעיף ניתן לעריכה או למחיקה</t>
        </r>
        <r>
          <rPr>
            <sz val="8"/>
            <color indexed="81"/>
            <rFont val="Tahoma"/>
            <family val="2"/>
          </rPr>
          <t xml:space="preserve">
</t>
        </r>
      </text>
    </comment>
    <comment ref="A27" authorId="0">
      <text>
        <r>
          <rPr>
            <u/>
            <sz val="11"/>
            <color indexed="81"/>
            <rFont val="Arial (Hebrew)"/>
          </rPr>
          <t>לתשומת לב:</t>
        </r>
        <r>
          <rPr>
            <sz val="11"/>
            <color indexed="81"/>
            <rFont val="Arial (Hebrew)"/>
          </rPr>
          <t xml:space="preserve"> תוכן הסעיף ניתן לעריכה או למחיקה</t>
        </r>
        <r>
          <rPr>
            <sz val="8"/>
            <color indexed="81"/>
            <rFont val="Tahoma"/>
            <family val="2"/>
          </rPr>
          <t xml:space="preserve">
</t>
        </r>
      </text>
    </comment>
  </commentList>
</comments>
</file>

<file path=xl/comments15.xml><?xml version="1.0" encoding="utf-8"?>
<comments xmlns="http://schemas.openxmlformats.org/spreadsheetml/2006/main">
  <authors>
    <author>nehamap</author>
    <author>IGSi</author>
    <author>שרית כהן</author>
  </authors>
  <commentList>
    <comment ref="L5" authorId="0">
      <text>
        <r>
          <rPr>
            <b/>
            <u/>
            <sz val="11"/>
            <color indexed="81"/>
            <rFont val="Arial"/>
            <family val="2"/>
          </rPr>
          <t>הנחיות למילוי העמודה:</t>
        </r>
        <r>
          <rPr>
            <sz val="11"/>
            <color indexed="81"/>
            <rFont val="Arial"/>
            <family val="2"/>
          </rPr>
          <t xml:space="preserve">
1. העברות</t>
        </r>
        <r>
          <rPr>
            <b/>
            <sz val="11"/>
            <color indexed="81"/>
            <rFont val="Arial"/>
            <family val="2"/>
          </rPr>
          <t xml:space="preserve"> ל</t>
        </r>
        <r>
          <rPr>
            <sz val="11"/>
            <color indexed="81"/>
            <rFont val="Arial"/>
            <family val="2"/>
          </rPr>
          <t xml:space="preserve">חובות מסופקים יוקלדו במינוס.
2. העברות </t>
        </r>
        <r>
          <rPr>
            <b/>
            <sz val="11"/>
            <color indexed="81"/>
            <rFont val="Arial"/>
            <family val="2"/>
          </rPr>
          <t>מ</t>
        </r>
        <r>
          <rPr>
            <sz val="11"/>
            <color indexed="81"/>
            <rFont val="Arial"/>
            <family val="2"/>
          </rPr>
          <t xml:space="preserve">חובות מסופקים יוקלדו בפלוס.
</t>
        </r>
        <r>
          <rPr>
            <b/>
            <u/>
            <sz val="11"/>
            <color indexed="81"/>
            <rFont val="Arial"/>
            <family val="2"/>
          </rPr>
          <t>לתשומת לב:</t>
        </r>
        <r>
          <rPr>
            <sz val="11"/>
            <color indexed="81"/>
            <rFont val="Arial"/>
            <family val="2"/>
          </rPr>
          <t xml:space="preserve">
העמודה תודפס מימין לעמודה "סה"כ חיובים נטו".</t>
        </r>
      </text>
    </comment>
    <comment ref="D16" authorId="1">
      <text>
        <r>
          <rPr>
            <sz val="11"/>
            <color indexed="81"/>
            <rFont val="Arial (Hebrew)"/>
            <family val="2"/>
            <charset val="177"/>
          </rPr>
          <t xml:space="preserve">יש למלא נתונים בסעיף זה </t>
        </r>
        <r>
          <rPr>
            <u/>
            <sz val="11"/>
            <color indexed="81"/>
            <rFont val="Arial (Hebrew)"/>
            <family val="2"/>
            <charset val="177"/>
          </rPr>
          <t>רק</t>
        </r>
        <r>
          <rPr>
            <sz val="11"/>
            <color indexed="81"/>
            <rFont val="Arial (Hebrew)"/>
            <family val="2"/>
            <charset val="177"/>
          </rPr>
          <t xml:space="preserve"> כאשר לא קיים פירוט בין אגרת מים לאגרת ביוב.
</t>
        </r>
        <r>
          <rPr>
            <b/>
            <sz val="11"/>
            <color indexed="81"/>
            <rFont val="Arial (Hebrew)"/>
            <family val="2"/>
            <charset val="177"/>
          </rPr>
          <t>לתשומת לב:</t>
        </r>
        <r>
          <rPr>
            <sz val="11"/>
            <color indexed="81"/>
            <rFont val="Arial (Hebrew)"/>
            <family val="2"/>
            <charset val="177"/>
          </rPr>
          <t xml:space="preserve">
יש למלא את הנתונים </t>
        </r>
        <r>
          <rPr>
            <u/>
            <sz val="11"/>
            <color indexed="81"/>
            <rFont val="Arial (Hebrew)"/>
            <family val="2"/>
            <charset val="177"/>
          </rPr>
          <t>בניכוי</t>
        </r>
        <r>
          <rPr>
            <sz val="11"/>
            <color indexed="81"/>
            <rFont val="Arial (Hebrew)"/>
            <family val="2"/>
            <charset val="177"/>
          </rPr>
          <t xml:space="preserve"> חובות מסופקים וחובות למחיקה.</t>
        </r>
      </text>
    </comment>
    <comment ref="C22" authorId="0">
      <text>
        <r>
          <rPr>
            <sz val="11"/>
            <color indexed="81"/>
            <rFont val="Arial (Hebrew)"/>
            <family val="2"/>
            <charset val="177"/>
          </rPr>
          <t xml:space="preserve">בסעיף זה יש להקליד את כל החובות המסופקים וחובות למחיקה למעט אלו שנכללו בסעיף ארנונה ומים.
</t>
        </r>
        <r>
          <rPr>
            <u/>
            <sz val="11"/>
            <color indexed="81"/>
            <rFont val="Arial (Hebrew)"/>
            <family val="2"/>
            <charset val="177"/>
          </rPr>
          <t>לתושמת לב:</t>
        </r>
        <r>
          <rPr>
            <sz val="11"/>
            <color indexed="81"/>
            <rFont val="Arial (Hebrew)"/>
            <family val="2"/>
            <charset val="177"/>
          </rPr>
          <t xml:space="preserve"> יש לכלול רק חובות מסופקים וחובות למחיקה מהחשבונות על בסיס חיוב שנתי.</t>
        </r>
      </text>
    </comment>
    <comment ref="C25" authorId="0">
      <text>
        <r>
          <rPr>
            <sz val="11"/>
            <color indexed="81"/>
            <rFont val="Arial (Hebrew)"/>
            <family val="2"/>
            <charset val="177"/>
          </rPr>
          <t xml:space="preserve">בחשבונות על בסיס חיוב חד פעמי יש </t>
        </r>
        <r>
          <rPr>
            <u/>
            <sz val="11"/>
            <color indexed="81"/>
            <rFont val="Arial (Hebrew)"/>
            <family val="2"/>
            <charset val="177"/>
          </rPr>
          <t>לנכות</t>
        </r>
        <r>
          <rPr>
            <sz val="11"/>
            <color indexed="81"/>
            <rFont val="Arial (Hebrew)"/>
            <family val="2"/>
            <charset val="177"/>
          </rPr>
          <t xml:space="preserve"> חובות מסופקים מכל סעיף בנפרד.
יש להקליד את הנתון </t>
        </r>
        <r>
          <rPr>
            <u/>
            <sz val="11"/>
            <color indexed="81"/>
            <rFont val="Arial (Hebrew)"/>
            <family val="2"/>
            <charset val="177"/>
          </rPr>
          <t>לאחר ניכוי</t>
        </r>
        <r>
          <rPr>
            <sz val="11"/>
            <color indexed="81"/>
            <rFont val="Arial (Hebrew)"/>
            <family val="2"/>
            <charset val="177"/>
          </rPr>
          <t xml:space="preserve"> החובות המסופקים וחובות למחיקה.
סיכום החובות המסופקים וחובות למחיקה יוקלד בסעיף 17 למטה.</t>
        </r>
        <r>
          <rPr>
            <sz val="8"/>
            <color indexed="81"/>
            <rFont val="Tahoma"/>
            <family val="2"/>
          </rPr>
          <t xml:space="preserve">
</t>
        </r>
      </text>
    </comment>
    <comment ref="C39" authorId="0">
      <text>
        <r>
          <rPr>
            <sz val="11"/>
            <color indexed="81"/>
            <rFont val="Arial (Hebrew)"/>
            <family val="2"/>
            <charset val="177"/>
          </rPr>
          <t>כותרת הסעיף ניתנת לעריכה</t>
        </r>
        <r>
          <rPr>
            <sz val="8"/>
            <color indexed="81"/>
            <rFont val="Tahoma"/>
            <family val="2"/>
          </rPr>
          <t xml:space="preserve">
</t>
        </r>
      </text>
    </comment>
    <comment ref="C40" authorId="0">
      <text>
        <r>
          <rPr>
            <sz val="11"/>
            <color indexed="81"/>
            <rFont val="Arial (Hebrew)"/>
            <family val="2"/>
            <charset val="177"/>
          </rPr>
          <t>כותרת הסעיף ניתנת לעריכה</t>
        </r>
        <r>
          <rPr>
            <sz val="8"/>
            <color indexed="81"/>
            <rFont val="Tahoma"/>
            <family val="2"/>
          </rPr>
          <t xml:space="preserve">
</t>
        </r>
      </text>
    </comment>
    <comment ref="C42" authorId="0">
      <text>
        <r>
          <rPr>
            <sz val="11"/>
            <color indexed="81"/>
            <rFont val="Arial (Hebrew)"/>
            <family val="2"/>
            <charset val="177"/>
          </rPr>
          <t>בסעיף זה יש לכלול את סך החובות המסופקים וחובות למחיקה בכל החשבונות על בסיס חיוב חד פעמי</t>
        </r>
        <r>
          <rPr>
            <sz val="8"/>
            <color indexed="81"/>
            <rFont val="Tahoma"/>
            <family val="2"/>
          </rPr>
          <t xml:space="preserve">
</t>
        </r>
      </text>
    </comment>
    <comment ref="C48" authorId="2">
      <text>
        <r>
          <rPr>
            <b/>
            <sz val="8"/>
            <color indexed="81"/>
            <rFont val="Tahoma"/>
            <family val="2"/>
          </rPr>
          <t>ניתן לעריכה.
במידה והרשות גובה היטל בגין צריכה עודפת יש להוסיף את ההערה הבאה: "היטל צריכת המים נגבה עבור משרד האוצר בתמורה לקבלת עמלה ואינו מהווה הכנסה של הרשות".</t>
        </r>
      </text>
    </comment>
    <comment ref="C49" authorId="0">
      <text>
        <r>
          <rPr>
            <sz val="11"/>
            <color indexed="81"/>
            <rFont val="Arial"/>
            <family val="2"/>
          </rPr>
          <t>יש למחוק את הטקסט כאשר הוא אינו רלוונטי</t>
        </r>
        <r>
          <rPr>
            <sz val="8"/>
            <color indexed="81"/>
            <rFont val="Tahoma"/>
            <family val="2"/>
          </rPr>
          <t xml:space="preserve">
</t>
        </r>
      </text>
    </comment>
  </commentList>
</comments>
</file>

<file path=xl/comments16.xml><?xml version="1.0" encoding="utf-8"?>
<comments xmlns="http://schemas.openxmlformats.org/spreadsheetml/2006/main">
  <authors>
    <author>IGSi</author>
    <author>nehamap</author>
    <author>שרית כהן</author>
  </authors>
  <commentList>
    <comment ref="D13" authorId="0">
      <text>
        <r>
          <rPr>
            <sz val="11"/>
            <color indexed="81"/>
            <rFont val="Arial (Hebrew)"/>
            <family val="2"/>
            <charset val="177"/>
          </rPr>
          <t xml:space="preserve">יש למלא נתונים בסעיף זה </t>
        </r>
        <r>
          <rPr>
            <u/>
            <sz val="11"/>
            <color indexed="81"/>
            <rFont val="Arial (Hebrew)"/>
            <family val="2"/>
            <charset val="177"/>
          </rPr>
          <t>רק</t>
        </r>
        <r>
          <rPr>
            <sz val="11"/>
            <color indexed="81"/>
            <rFont val="Arial (Hebrew)"/>
            <family val="2"/>
            <charset val="177"/>
          </rPr>
          <t xml:space="preserve"> כאשר לא קיים פירוט בין אגרת מים לאגרת ביוב.
</t>
        </r>
        <r>
          <rPr>
            <b/>
            <sz val="11"/>
            <color indexed="81"/>
            <rFont val="Arial (Hebrew)"/>
            <family val="2"/>
            <charset val="177"/>
          </rPr>
          <t>לתשומת לב:</t>
        </r>
        <r>
          <rPr>
            <sz val="11"/>
            <color indexed="81"/>
            <rFont val="Arial (Hebrew)"/>
            <family val="2"/>
            <charset val="177"/>
          </rPr>
          <t xml:space="preserve">
יש למלא את הנתונים </t>
        </r>
        <r>
          <rPr>
            <u/>
            <sz val="11"/>
            <color indexed="81"/>
            <rFont val="Arial (Hebrew)"/>
            <family val="2"/>
            <charset val="177"/>
          </rPr>
          <t>בניכוי</t>
        </r>
        <r>
          <rPr>
            <sz val="11"/>
            <color indexed="81"/>
            <rFont val="Arial (Hebrew)"/>
            <family val="2"/>
            <charset val="177"/>
          </rPr>
          <t xml:space="preserve"> חובות מסופקים וחובות למחיקה.</t>
        </r>
      </text>
    </comment>
    <comment ref="D18" authorId="1">
      <text>
        <r>
          <rPr>
            <sz val="11"/>
            <color indexed="81"/>
            <rFont val="Arial (Hebrew)"/>
            <family val="2"/>
            <charset val="177"/>
          </rPr>
          <t>יש לעדכן את כותרת הסעיף בסעיף המתאים בנספח 2 לטופס 1. הכותרת תתעדכן בפירוט באופן אוטומטי</t>
        </r>
      </text>
    </comment>
    <comment ref="D22" authorId="1">
      <text>
        <r>
          <rPr>
            <sz val="11"/>
            <color indexed="81"/>
            <rFont val="Arial (Hebrew)"/>
            <family val="2"/>
            <charset val="177"/>
          </rPr>
          <t xml:space="preserve">בחשבונות על בסיס חיוב חד פעמי יש </t>
        </r>
        <r>
          <rPr>
            <u/>
            <sz val="11"/>
            <color indexed="81"/>
            <rFont val="Arial (Hebrew)"/>
            <family val="2"/>
            <charset val="177"/>
          </rPr>
          <t>לנכות</t>
        </r>
        <r>
          <rPr>
            <sz val="11"/>
            <color indexed="81"/>
            <rFont val="Arial (Hebrew)"/>
            <family val="2"/>
            <charset val="177"/>
          </rPr>
          <t xml:space="preserve"> חובות מסופקים מכל סעיף בנפרד.
יש להקליד את הנתון </t>
        </r>
        <r>
          <rPr>
            <u/>
            <sz val="11"/>
            <color indexed="81"/>
            <rFont val="Arial (Hebrew)"/>
            <family val="2"/>
            <charset val="177"/>
          </rPr>
          <t>לאחר ניכוי</t>
        </r>
        <r>
          <rPr>
            <sz val="11"/>
            <color indexed="81"/>
            <rFont val="Arial (Hebrew)"/>
            <family val="2"/>
            <charset val="177"/>
          </rPr>
          <t xml:space="preserve"> החובות המסופקים וחובות למחיקה.
סיכום החובות המסופקים וחובות למחיקה יוקלד בסעיף 17 למטה.</t>
        </r>
        <r>
          <rPr>
            <sz val="8"/>
            <color indexed="81"/>
            <rFont val="Tahoma"/>
            <family val="2"/>
          </rPr>
          <t xml:space="preserve">
</t>
        </r>
      </text>
    </comment>
    <comment ref="D36" authorId="2">
      <text>
        <r>
          <rPr>
            <b/>
            <sz val="8"/>
            <color indexed="81"/>
            <rFont val="Tahoma"/>
            <family val="2"/>
          </rPr>
          <t>יש לעדכן את כותרת הסעיף בסעיף המתאים בנספח 2 לטופס 1. הכותרת תתעדכן בפירוט באופן אוטומטי.</t>
        </r>
      </text>
    </comment>
    <comment ref="D37" authorId="2">
      <text>
        <r>
          <rPr>
            <b/>
            <sz val="8"/>
            <color indexed="81"/>
            <rFont val="Tahoma"/>
            <family val="2"/>
          </rPr>
          <t>יש לעדכן את כותרת הסעיף בסעיף המתאים בנספח 2 לטופס 1. הכותרת תתעדכן בפירוט באופן אוטומטי.</t>
        </r>
      </text>
    </comment>
    <comment ref="D39" authorId="1">
      <text>
        <r>
          <rPr>
            <sz val="11"/>
            <color indexed="81"/>
            <rFont val="Arial (Hebrew)"/>
            <family val="2"/>
            <charset val="177"/>
          </rPr>
          <t>בסעיף זה יש לכלול את סך החובות המסופקים וחובות למחיקה בכל החשבונות על בסיס חיוב חד פעמי</t>
        </r>
        <r>
          <rPr>
            <sz val="8"/>
            <color indexed="81"/>
            <rFont val="Tahoma"/>
            <family val="2"/>
          </rPr>
          <t xml:space="preserve">
</t>
        </r>
      </text>
    </comment>
  </commentList>
</comments>
</file>

<file path=xl/comments17.xml><?xml version="1.0" encoding="utf-8"?>
<comments xmlns="http://schemas.openxmlformats.org/spreadsheetml/2006/main">
  <authors>
    <author>IBM GLOBAL SERVICES (ISRAEL)</author>
    <author>IGSi</author>
    <author>nehamap</author>
    <author>שרית כהן</author>
  </authors>
  <commentList>
    <comment ref="H5" authorId="0">
      <text>
        <r>
          <rPr>
            <b/>
            <sz val="12"/>
            <color indexed="81"/>
            <rFont val="Tahoma"/>
            <family val="2"/>
            <charset val="177"/>
          </rPr>
          <t>יש להקליד נתון בפלוס</t>
        </r>
        <r>
          <rPr>
            <sz val="8"/>
            <color indexed="81"/>
            <rFont val="Tahoma"/>
            <family val="2"/>
          </rPr>
          <t xml:space="preserve">
</t>
        </r>
      </text>
    </comment>
    <comment ref="I5" authorId="0">
      <text>
        <r>
          <rPr>
            <b/>
            <sz val="12"/>
            <color indexed="81"/>
            <rFont val="Tahoma"/>
            <family val="2"/>
            <charset val="177"/>
          </rPr>
          <t>יש להקליד נתון בפלוס</t>
        </r>
        <r>
          <rPr>
            <sz val="8"/>
            <color indexed="81"/>
            <rFont val="Tahoma"/>
            <family val="2"/>
          </rPr>
          <t xml:space="preserve">
</t>
        </r>
      </text>
    </comment>
    <comment ref="J5" authorId="0">
      <text>
        <r>
          <rPr>
            <b/>
            <sz val="12"/>
            <color indexed="81"/>
            <rFont val="Tahoma"/>
            <family val="2"/>
            <charset val="177"/>
          </rPr>
          <t>יש להקליד נתון בפלוס</t>
        </r>
        <r>
          <rPr>
            <sz val="8"/>
            <color indexed="81"/>
            <rFont val="Tahoma"/>
            <family val="2"/>
          </rPr>
          <t xml:space="preserve">
</t>
        </r>
      </text>
    </comment>
    <comment ref="D13" authorId="1">
      <text>
        <r>
          <rPr>
            <sz val="11"/>
            <color indexed="81"/>
            <rFont val="Arial (Hebrew)"/>
            <family val="2"/>
            <charset val="177"/>
          </rPr>
          <t xml:space="preserve">יש למלא נתונים בסעיף זה </t>
        </r>
        <r>
          <rPr>
            <u/>
            <sz val="11"/>
            <color indexed="81"/>
            <rFont val="Arial (Hebrew)"/>
            <family val="2"/>
            <charset val="177"/>
          </rPr>
          <t>רק</t>
        </r>
        <r>
          <rPr>
            <sz val="11"/>
            <color indexed="81"/>
            <rFont val="Arial (Hebrew)"/>
            <family val="2"/>
            <charset val="177"/>
          </rPr>
          <t xml:space="preserve"> כאשר לא קיים פירוט בין אגרת מים לאגרת ביוב.
</t>
        </r>
        <r>
          <rPr>
            <b/>
            <sz val="11"/>
            <color indexed="81"/>
            <rFont val="Arial (Hebrew)"/>
            <family val="2"/>
            <charset val="177"/>
          </rPr>
          <t>לתשומת לב:</t>
        </r>
        <r>
          <rPr>
            <sz val="11"/>
            <color indexed="81"/>
            <rFont val="Arial (Hebrew)"/>
            <family val="2"/>
            <charset val="177"/>
          </rPr>
          <t xml:space="preserve">
יש למלא את הנתונים </t>
        </r>
        <r>
          <rPr>
            <u/>
            <sz val="11"/>
            <color indexed="81"/>
            <rFont val="Arial (Hebrew)"/>
            <family val="2"/>
            <charset val="177"/>
          </rPr>
          <t>בניכוי</t>
        </r>
        <r>
          <rPr>
            <sz val="11"/>
            <color indexed="81"/>
            <rFont val="Arial (Hebrew)"/>
            <family val="2"/>
            <charset val="177"/>
          </rPr>
          <t xml:space="preserve"> חובות מסופקים וחובות למחיקה.</t>
        </r>
      </text>
    </comment>
    <comment ref="D18" authorId="2">
      <text>
        <r>
          <rPr>
            <sz val="11"/>
            <color indexed="81"/>
            <rFont val="Arial (Hebrew)"/>
            <family val="2"/>
            <charset val="177"/>
          </rPr>
          <t>יש לעדכן את כותרת הסעיף בסעיף המתאים בנספח 2 לטופס 1. הכותרת תתעדכן בפירוט באופן אוטומטי</t>
        </r>
      </text>
    </comment>
    <comment ref="D22" authorId="2">
      <text>
        <r>
          <rPr>
            <sz val="11"/>
            <color indexed="81"/>
            <rFont val="Arial (Hebrew)"/>
            <family val="2"/>
            <charset val="177"/>
          </rPr>
          <t xml:space="preserve">בחשבונות על בסיס חיוב חד פעמי יש </t>
        </r>
        <r>
          <rPr>
            <u/>
            <sz val="11"/>
            <color indexed="81"/>
            <rFont val="Arial (Hebrew)"/>
            <family val="2"/>
            <charset val="177"/>
          </rPr>
          <t>לנכות</t>
        </r>
        <r>
          <rPr>
            <sz val="11"/>
            <color indexed="81"/>
            <rFont val="Arial (Hebrew)"/>
            <family val="2"/>
            <charset val="177"/>
          </rPr>
          <t xml:space="preserve"> חובות מסופקים מכל סעיף בנפרד.
יש להקליד את הנתון </t>
        </r>
        <r>
          <rPr>
            <u/>
            <sz val="11"/>
            <color indexed="81"/>
            <rFont val="Arial (Hebrew)"/>
            <family val="2"/>
            <charset val="177"/>
          </rPr>
          <t>לאחר ניכוי</t>
        </r>
        <r>
          <rPr>
            <sz val="11"/>
            <color indexed="81"/>
            <rFont val="Arial (Hebrew)"/>
            <family val="2"/>
            <charset val="177"/>
          </rPr>
          <t xml:space="preserve"> החובות המסופקים וחובות למחיקה.
סיכום החובות המסופקים וחובות למחיקה יוקלד בסעיף 17 למטה.</t>
        </r>
        <r>
          <rPr>
            <sz val="8"/>
            <color indexed="81"/>
            <rFont val="Tahoma"/>
            <family val="2"/>
          </rPr>
          <t xml:space="preserve">
</t>
        </r>
      </text>
    </comment>
    <comment ref="D36" authorId="3">
      <text>
        <r>
          <rPr>
            <b/>
            <sz val="8"/>
            <color indexed="81"/>
            <rFont val="Tahoma"/>
            <family val="2"/>
          </rPr>
          <t>יש לעדכן את כותרת הסעיף בסעיף המתאים בנספח 2 לטופס 1. הכותרת תתעדכן בפירוט באופן אוטומטי.</t>
        </r>
      </text>
    </comment>
    <comment ref="D37" authorId="3">
      <text>
        <r>
          <rPr>
            <b/>
            <sz val="8"/>
            <color indexed="81"/>
            <rFont val="Tahoma"/>
            <family val="2"/>
          </rPr>
          <t>יש לעדכן את כותרת הסעיף בסעיף המתאים בנספח 2 לטופס 1. הכותרת תתעדכן בפירוט באופן אוטומטי.</t>
        </r>
      </text>
    </comment>
    <comment ref="D39" authorId="2">
      <text>
        <r>
          <rPr>
            <sz val="11"/>
            <color indexed="81"/>
            <rFont val="Arial (Hebrew)"/>
            <family val="2"/>
            <charset val="177"/>
          </rPr>
          <t>בסעיף זה יש לכלול את סך החובות המסופקים וחובות למחיקה בכל החשבונות על בסיס חיוב חד פעמי</t>
        </r>
        <r>
          <rPr>
            <sz val="8"/>
            <color indexed="81"/>
            <rFont val="Tahoma"/>
            <family val="2"/>
          </rPr>
          <t xml:space="preserve">
</t>
        </r>
      </text>
    </comment>
  </commentList>
</comments>
</file>

<file path=xl/comments18.xml><?xml version="1.0" encoding="utf-8"?>
<comments xmlns="http://schemas.openxmlformats.org/spreadsheetml/2006/main">
  <authors>
    <author>IGSi</author>
    <author>nehamap</author>
    <author>שרית כהן</author>
  </authors>
  <commentList>
    <comment ref="C11" authorId="0">
      <text>
        <r>
          <rPr>
            <sz val="11"/>
            <color indexed="81"/>
            <rFont val="Arial (Hebrew)"/>
            <family val="2"/>
            <charset val="177"/>
          </rPr>
          <t xml:space="preserve">גביה  שבוצעה מחובות מסופקים יש להציג:
 1. כהעברה מחובות מסופקים לחובות טובים בסעיף הרלוונטי.
 2. גביה מחובות טובים.
</t>
        </r>
        <r>
          <rPr>
            <u/>
            <sz val="11"/>
            <color indexed="81"/>
            <rFont val="Arial (Hebrew)"/>
          </rPr>
          <t>אין למלא נתונים בשורה הנוכחית</t>
        </r>
      </text>
    </comment>
    <comment ref="C13" authorId="0">
      <text>
        <r>
          <rPr>
            <sz val="11"/>
            <color indexed="81"/>
            <rFont val="Arial (Hebrew)"/>
            <family val="2"/>
            <charset val="177"/>
          </rPr>
          <t xml:space="preserve">יש למלא נתונים בסעיף זה </t>
        </r>
        <r>
          <rPr>
            <u/>
            <sz val="11"/>
            <color indexed="81"/>
            <rFont val="Arial (Hebrew)"/>
            <family val="2"/>
            <charset val="177"/>
          </rPr>
          <t>רק</t>
        </r>
        <r>
          <rPr>
            <sz val="11"/>
            <color indexed="81"/>
            <rFont val="Arial (Hebrew)"/>
            <family val="2"/>
            <charset val="177"/>
          </rPr>
          <t xml:space="preserve"> כאשר לא קיים פירוט בין אגרת מים לאגרת ביוב.
</t>
        </r>
        <r>
          <rPr>
            <b/>
            <sz val="11"/>
            <color indexed="81"/>
            <rFont val="Arial (Hebrew)"/>
            <family val="2"/>
            <charset val="177"/>
          </rPr>
          <t>לתשומת לב:</t>
        </r>
        <r>
          <rPr>
            <sz val="11"/>
            <color indexed="81"/>
            <rFont val="Arial (Hebrew)"/>
            <family val="2"/>
            <charset val="177"/>
          </rPr>
          <t xml:space="preserve">
יש למלא את הנתונים </t>
        </r>
        <r>
          <rPr>
            <u/>
            <sz val="11"/>
            <color indexed="81"/>
            <rFont val="Arial (Hebrew)"/>
            <family val="2"/>
            <charset val="177"/>
          </rPr>
          <t>בניכוי</t>
        </r>
        <r>
          <rPr>
            <sz val="11"/>
            <color indexed="81"/>
            <rFont val="Arial (Hebrew)"/>
            <family val="2"/>
            <charset val="177"/>
          </rPr>
          <t xml:space="preserve"> חובות מסופקים וחובות למחיקה.</t>
        </r>
      </text>
    </comment>
    <comment ref="C15" authorId="0">
      <text>
        <r>
          <rPr>
            <sz val="11"/>
            <color indexed="81"/>
            <rFont val="Arial (Hebrew)"/>
            <family val="2"/>
            <charset val="177"/>
          </rPr>
          <t xml:space="preserve">גביה  שבוצעה מחובות מסופקים יש להציג:
 1. כהעברה מחובות מסופקים לחובות טובים בסעיף הרלוונטי.
 2. גביה מחובות טובים.
</t>
        </r>
        <r>
          <rPr>
            <u/>
            <sz val="11"/>
            <color indexed="81"/>
            <rFont val="Arial (Hebrew)"/>
          </rPr>
          <t>אין למלא נתונים בשורה הנוכחית</t>
        </r>
      </text>
    </comment>
    <comment ref="C18" authorId="1">
      <text>
        <r>
          <rPr>
            <sz val="11"/>
            <color indexed="81"/>
            <rFont val="Arial (Hebrew)"/>
            <family val="2"/>
            <charset val="177"/>
          </rPr>
          <t>יש לעדכן את כותרת הסעיף בסעיף המתאים בנספח 2 לטופס 1. הכותרת תתעדכן בפירוט באופן אוטומטי</t>
        </r>
      </text>
    </comment>
    <comment ref="C19" authorId="0">
      <text>
        <r>
          <rPr>
            <sz val="11"/>
            <color indexed="81"/>
            <rFont val="Arial (Hebrew)"/>
            <family val="2"/>
            <charset val="177"/>
          </rPr>
          <t xml:space="preserve">גביה  שבוצעה מחובות מסופקים יש להציג:
 1. כהעברה מחובות מסופקים לחובות טובים בסעיף הרלוונטי.
 2. גביה מחובות טובים.
</t>
        </r>
        <r>
          <rPr>
            <u/>
            <sz val="11"/>
            <color indexed="81"/>
            <rFont val="Arial (Hebrew)"/>
          </rPr>
          <t>אין למלא נתונים בשורה הנוכחית</t>
        </r>
      </text>
    </comment>
    <comment ref="C22" authorId="1">
      <text>
        <r>
          <rPr>
            <sz val="11"/>
            <color indexed="81"/>
            <rFont val="Arial (Hebrew)"/>
            <family val="2"/>
            <charset val="177"/>
          </rPr>
          <t xml:space="preserve">בחשבונות על בסיס חיוב חד פעמי יש </t>
        </r>
        <r>
          <rPr>
            <u/>
            <sz val="11"/>
            <color indexed="81"/>
            <rFont val="Arial (Hebrew)"/>
            <family val="2"/>
            <charset val="177"/>
          </rPr>
          <t>לנכות</t>
        </r>
        <r>
          <rPr>
            <sz val="11"/>
            <color indexed="81"/>
            <rFont val="Arial (Hebrew)"/>
            <family val="2"/>
            <charset val="177"/>
          </rPr>
          <t xml:space="preserve"> חובות מסופקים מכל סעיף בנפרד.
יש להקליד את הנתון </t>
        </r>
        <r>
          <rPr>
            <u/>
            <sz val="11"/>
            <color indexed="81"/>
            <rFont val="Arial (Hebrew)"/>
            <family val="2"/>
            <charset val="177"/>
          </rPr>
          <t>לאחר ניכוי</t>
        </r>
        <r>
          <rPr>
            <sz val="11"/>
            <color indexed="81"/>
            <rFont val="Arial (Hebrew)"/>
            <family val="2"/>
            <charset val="177"/>
          </rPr>
          <t xml:space="preserve"> החובות המסופקים וחובות למחיקה.
הנחיות לטיפול בגבית חובות מסופקים וחובות למחיקה מופיעים בהערה בכותרת סעיף 17.</t>
        </r>
      </text>
    </comment>
    <comment ref="C36" authorId="2">
      <text>
        <r>
          <rPr>
            <b/>
            <sz val="8"/>
            <color indexed="81"/>
            <rFont val="Tahoma"/>
            <family val="2"/>
          </rPr>
          <t>יש לעדכן את כותרת הסעיף בסעיף המתאים בנספח 2 לטופס 1. הכותרת תתעדכן בפירוט באופן אוטומטי.</t>
        </r>
        <r>
          <rPr>
            <sz val="8"/>
            <color indexed="81"/>
            <rFont val="Tahoma"/>
            <family val="2"/>
          </rPr>
          <t xml:space="preserve">
</t>
        </r>
      </text>
    </comment>
    <comment ref="C37" authorId="2">
      <text>
        <r>
          <rPr>
            <b/>
            <sz val="8"/>
            <color indexed="81"/>
            <rFont val="Tahoma"/>
            <family val="2"/>
          </rPr>
          <t>יש לעדכן את כותרת הסעיף בסעיף המתאים בנספח 2 לטופס 1. הכותרת תתעדכן בפירוט באופן אוטומטי.</t>
        </r>
        <r>
          <rPr>
            <sz val="8"/>
            <color indexed="81"/>
            <rFont val="Tahoma"/>
            <family val="2"/>
          </rPr>
          <t xml:space="preserve">
</t>
        </r>
      </text>
    </comment>
    <comment ref="C39" authorId="0">
      <text>
        <r>
          <rPr>
            <sz val="11"/>
            <color indexed="81"/>
            <rFont val="Arial (Hebrew)"/>
            <family val="2"/>
            <charset val="177"/>
          </rPr>
          <t xml:space="preserve">גביה  שבוצעה מחובות מסופקים יש להציג:
 1. כהעברה מחובות מסופקים לחובות טובים בסעיף הרלוונטי.
 2. גביה מחובות טובים.
</t>
        </r>
        <r>
          <rPr>
            <u/>
            <sz val="11"/>
            <color indexed="81"/>
            <rFont val="Arial (Hebrew)"/>
          </rPr>
          <t>אין למלא נתונים בשורה הנוכחית</t>
        </r>
      </text>
    </comment>
  </commentList>
</comments>
</file>

<file path=xl/comments19.xml><?xml version="1.0" encoding="utf-8"?>
<comments xmlns="http://schemas.openxmlformats.org/spreadsheetml/2006/main">
  <authors>
    <author>nehamap</author>
  </authors>
  <commentList>
    <comment ref="B18" authorId="0">
      <text>
        <r>
          <rPr>
            <sz val="11"/>
            <color indexed="81"/>
            <rFont val="Arial (Hebrew)"/>
          </rPr>
          <t>הטקסט ניתן לעריכה או למחיקה דרך התא הנוכחי</t>
        </r>
      </text>
    </comment>
    <comment ref="B26" authorId="0">
      <text>
        <r>
          <rPr>
            <sz val="11"/>
            <color indexed="81"/>
            <rFont val="Arial"/>
            <family val="2"/>
          </rPr>
          <t xml:space="preserve">כאשר בוצע פרעון מלוות גם דרך התקציב הבלתי רגיל יש לבחור את ההערה המתאימה מתוך תיבת הבחירה בשדה ולהשלים את ההערה בסכומים הרלוונטיים
</t>
        </r>
      </text>
    </comment>
  </commentList>
</comments>
</file>

<file path=xl/comments2.xml><?xml version="1.0" encoding="utf-8"?>
<comments xmlns="http://schemas.openxmlformats.org/spreadsheetml/2006/main">
  <authors>
    <author>IBM_USER</author>
    <author>IGSi</author>
    <author>nehamap</author>
  </authors>
  <commentList>
    <comment ref="I5" authorId="0">
      <text>
        <r>
          <rPr>
            <sz val="11"/>
            <color indexed="81"/>
            <rFont val="Arial"/>
            <family val="2"/>
          </rPr>
          <t>ניתן להוסיף בעמודה כוכבית למיון מחדש</t>
        </r>
        <r>
          <rPr>
            <sz val="8"/>
            <color indexed="81"/>
            <rFont val="Tahoma"/>
            <family val="2"/>
          </rPr>
          <t xml:space="preserve">
</t>
        </r>
      </text>
    </comment>
    <comment ref="F44" authorId="1">
      <text>
        <r>
          <rPr>
            <b/>
            <sz val="10"/>
            <color indexed="81"/>
            <rFont val="Tahoma"/>
            <family val="2"/>
            <charset val="177"/>
          </rPr>
          <t>למילוי כאשר לא קיים פירוט בין חובות פתוחים למכוסים בהמחאות לגביה</t>
        </r>
      </text>
    </comment>
    <comment ref="H44" authorId="1">
      <text>
        <r>
          <rPr>
            <b/>
            <sz val="10"/>
            <color indexed="81"/>
            <rFont val="Tahoma"/>
            <family val="2"/>
            <charset val="177"/>
          </rPr>
          <t>למילוי כאשר לא קיים פירוט בין חובות פתוחים למכוסים בהמחאות לגביה</t>
        </r>
      </text>
    </comment>
    <comment ref="B48" authorId="2">
      <text>
        <r>
          <rPr>
            <b/>
            <sz val="12"/>
            <color indexed="81"/>
            <rFont val="Arial (Hebrew)"/>
            <family val="2"/>
            <charset val="177"/>
          </rPr>
          <t>הפניה לסיווג / מיון מחדש יש להוסיף כאן</t>
        </r>
        <r>
          <rPr>
            <sz val="8"/>
            <color indexed="81"/>
            <rFont val="Tahoma"/>
            <family val="2"/>
          </rPr>
          <t xml:space="preserve">
</t>
        </r>
      </text>
    </comment>
  </commentList>
</comments>
</file>

<file path=xl/comments20.xml><?xml version="1.0" encoding="utf-8"?>
<comments xmlns="http://schemas.openxmlformats.org/spreadsheetml/2006/main">
  <authors>
    <author>sarit</author>
    <author>nehamap</author>
  </authors>
  <commentList>
    <comment ref="F8" authorId="0">
      <text>
        <r>
          <rPr>
            <b/>
            <sz val="8"/>
            <color indexed="81"/>
            <rFont val="Tahoma"/>
            <family val="2"/>
          </rPr>
          <t>באם התקציב עודכן יש לציין זאת בביאור 1ו (שורה 29 ושורה 33).</t>
        </r>
      </text>
    </comment>
    <comment ref="F9" authorId="0">
      <text>
        <r>
          <rPr>
            <b/>
            <sz val="8"/>
            <color indexed="81"/>
            <rFont val="Tahoma"/>
            <family val="2"/>
          </rPr>
          <t>באם התקציב עודכן יש לציין זאת בביאור 1ו (שורה 29 ושורה33).</t>
        </r>
      </text>
    </comment>
    <comment ref="C26" authorId="1">
      <text>
        <r>
          <rPr>
            <sz val="11"/>
            <color indexed="81"/>
            <rFont val="Arial (Hebrew)"/>
            <family val="2"/>
            <charset val="177"/>
          </rPr>
          <t>יש לכלול בסעיף זה מענקים שהתקבלו ממשרד הפנים ונכללו בפרק 19.</t>
        </r>
      </text>
    </comment>
    <comment ref="C27" authorId="1">
      <text>
        <r>
          <rPr>
            <sz val="11"/>
            <color indexed="81"/>
            <rFont val="Arial (Hebrew)"/>
            <family val="2"/>
            <charset val="177"/>
          </rPr>
          <t>יש לכלול בסעיף זה מענקים שהתקבלו ממשרד הפנים ונכללו בכל הפרקים למעט:
1. פרק 19
2. מענק לכיסוי גרעון</t>
        </r>
      </text>
    </comment>
    <comment ref="C31" authorId="1">
      <text>
        <r>
          <rPr>
            <sz val="11"/>
            <color indexed="81"/>
            <rFont val="Arial (Hebrew)"/>
            <family val="2"/>
            <charset val="177"/>
          </rPr>
          <t xml:space="preserve">הפניה למיון / סיווג מחדש יש להקליד כאן
</t>
        </r>
      </text>
    </comment>
  </commentList>
</comments>
</file>

<file path=xl/comments21.xml><?xml version="1.0" encoding="utf-8"?>
<comments xmlns="http://schemas.openxmlformats.org/spreadsheetml/2006/main">
  <authors>
    <author>nehamap</author>
  </authors>
  <commentList>
    <comment ref="C8" authorId="0">
      <text>
        <r>
          <rPr>
            <sz val="11"/>
            <color indexed="81"/>
            <rFont val="Arial (Hebrew)"/>
            <family val="2"/>
            <charset val="177"/>
          </rPr>
          <t>סעיף 1-3</t>
        </r>
      </text>
    </comment>
    <comment ref="C9" authorId="0">
      <text>
        <r>
          <rPr>
            <sz val="11"/>
            <color indexed="81"/>
            <rFont val="Arial (Hebrew)"/>
            <family val="2"/>
            <charset val="177"/>
          </rPr>
          <t>סעיף 4-5</t>
        </r>
      </text>
    </comment>
    <comment ref="C10" authorId="0">
      <text>
        <r>
          <rPr>
            <sz val="11"/>
            <color indexed="81"/>
            <rFont val="Arial (Hebrew)"/>
            <family val="2"/>
            <charset val="177"/>
          </rPr>
          <t>פרק 63</t>
        </r>
      </text>
    </comment>
    <comment ref="C11" authorId="0">
      <text>
        <r>
          <rPr>
            <sz val="11"/>
            <color indexed="81"/>
            <rFont val="Arial (Hebrew)"/>
            <family val="2"/>
            <charset val="177"/>
          </rPr>
          <t>סעיפי 7XX</t>
        </r>
      </text>
    </comment>
    <comment ref="C12" authorId="0">
      <text>
        <r>
          <rPr>
            <sz val="11"/>
            <color indexed="81"/>
            <rFont val="Arial (Hebrew)"/>
            <family val="2"/>
            <charset val="177"/>
          </rPr>
          <t>סעיף 8</t>
        </r>
      </text>
    </comment>
    <comment ref="C13" authorId="0">
      <text>
        <r>
          <rPr>
            <sz val="11"/>
            <color indexed="81"/>
            <rFont val="Arial (Hebrew)"/>
            <family val="2"/>
            <charset val="177"/>
          </rPr>
          <t>סעיף 9</t>
        </r>
      </text>
    </comment>
    <comment ref="C14" authorId="0">
      <text>
        <r>
          <rPr>
            <sz val="11"/>
            <color indexed="81"/>
            <rFont val="Arial (Hebrew)"/>
            <family val="2"/>
            <charset val="177"/>
          </rPr>
          <t>פרק 691-699</t>
        </r>
      </text>
    </comment>
    <comment ref="C15" authorId="0">
      <text>
        <r>
          <rPr>
            <sz val="11"/>
            <color indexed="81"/>
            <rFont val="Arial (Hebrew)"/>
            <family val="2"/>
            <charset val="177"/>
          </rPr>
          <t xml:space="preserve">פרק 999
</t>
        </r>
      </text>
    </comment>
    <comment ref="C19" authorId="0">
      <text>
        <r>
          <rPr>
            <sz val="11"/>
            <color indexed="81"/>
            <rFont val="Arial (Hebrew)"/>
            <family val="2"/>
            <charset val="177"/>
          </rPr>
          <t xml:space="preserve">הפניה למיון / סיווג מחדש יש להקליד כאן
</t>
        </r>
      </text>
    </comment>
  </commentList>
</comments>
</file>

<file path=xl/comments22.xml><?xml version="1.0" encoding="utf-8"?>
<comments xmlns="http://schemas.openxmlformats.org/spreadsheetml/2006/main">
  <authors>
    <author>nehamap</author>
  </authors>
  <commentList>
    <comment ref="C37" authorId="0">
      <text>
        <r>
          <rPr>
            <sz val="11"/>
            <color indexed="81"/>
            <rFont val="Arial"/>
            <family val="2"/>
          </rPr>
          <t xml:space="preserve">בסעיף </t>
        </r>
        <r>
          <rPr>
            <u/>
            <sz val="11"/>
            <color indexed="81"/>
            <rFont val="Arial"/>
            <family val="2"/>
          </rPr>
          <t>חד פעמיות</t>
        </r>
        <r>
          <rPr>
            <sz val="11"/>
            <color indexed="81"/>
            <rFont val="Arial"/>
            <family val="2"/>
          </rPr>
          <t xml:space="preserve"> יש לקלוט הוצאות מפרק 99 בסעיפים 400 - 999 לא כולל:
1. מענקים לכיסוי גרעון
2. הנחות ארנונה
</t>
        </r>
      </text>
    </comment>
    <comment ref="C45" authorId="0">
      <text>
        <r>
          <rPr>
            <sz val="11"/>
            <color indexed="81"/>
            <rFont val="Arial (Hebrew)"/>
            <family val="2"/>
            <charset val="177"/>
          </rPr>
          <t>תוכן ההערה ניתן לעריכה</t>
        </r>
        <r>
          <rPr>
            <sz val="8"/>
            <color indexed="81"/>
            <rFont val="Tahoma"/>
            <family val="2"/>
          </rPr>
          <t xml:space="preserve">
</t>
        </r>
      </text>
    </comment>
    <comment ref="G45" authorId="0">
      <text>
        <r>
          <rPr>
            <sz val="11"/>
            <color indexed="81"/>
            <rFont val="Arial (Hebrew)"/>
            <family val="2"/>
            <charset val="177"/>
          </rPr>
          <t>תוכן ההערה ניתן לעריכה או למחיקה</t>
        </r>
        <r>
          <rPr>
            <sz val="8"/>
            <color indexed="81"/>
            <rFont val="Tahoma"/>
            <family val="2"/>
          </rPr>
          <t xml:space="preserve">
</t>
        </r>
      </text>
    </comment>
    <comment ref="C46" authorId="0">
      <text>
        <r>
          <rPr>
            <sz val="11"/>
            <color indexed="81"/>
            <rFont val="Arial (Hebrew)"/>
            <family val="2"/>
            <charset val="177"/>
          </rPr>
          <t>תוכן ההערה ניתן לעריכה</t>
        </r>
        <r>
          <rPr>
            <sz val="8"/>
            <color indexed="81"/>
            <rFont val="Tahoma"/>
            <family val="2"/>
          </rPr>
          <t xml:space="preserve">
</t>
        </r>
      </text>
    </comment>
  </commentList>
</comments>
</file>

<file path=xl/comments23.xml><?xml version="1.0" encoding="utf-8"?>
<comments xmlns="http://schemas.openxmlformats.org/spreadsheetml/2006/main">
  <authors>
    <author>IBM_USER</author>
    <author>שרית כהן</author>
  </authors>
  <commentList>
    <comment ref="C46" authorId="0">
      <text>
        <r>
          <rPr>
            <u/>
            <sz val="11"/>
            <color indexed="81"/>
            <rFont val="Arial"/>
            <family val="2"/>
          </rPr>
          <t>לתשומת לב:</t>
        </r>
        <r>
          <rPr>
            <sz val="11"/>
            <color indexed="81"/>
            <rFont val="Arial"/>
            <family val="2"/>
          </rPr>
          <t xml:space="preserve">
1. במידה וההערה לא רלוונטית יש למחוק אותה.
2. במידה וההערה רלוונטית </t>
        </r>
        <r>
          <rPr>
            <u/>
            <sz val="11"/>
            <color indexed="81"/>
            <rFont val="Arial"/>
            <family val="2"/>
          </rPr>
          <t>חובה</t>
        </r>
        <r>
          <rPr>
            <sz val="11"/>
            <color indexed="81"/>
            <rFont val="Arial"/>
            <family val="2"/>
          </rPr>
          <t xml:space="preserve"> להקליד את סכום הפיצויים.</t>
        </r>
      </text>
    </comment>
    <comment ref="C52" authorId="1">
      <text>
        <r>
          <rPr>
            <b/>
            <sz val="9"/>
            <color indexed="81"/>
            <rFont val="Tahoma"/>
            <family val="2"/>
          </rPr>
          <t>יש לפרט את מהות השרותים שנרכשו.</t>
        </r>
      </text>
    </comment>
  </commentList>
</comments>
</file>

<file path=xl/comments24.xml><?xml version="1.0" encoding="utf-8"?>
<comments xmlns="http://schemas.openxmlformats.org/spreadsheetml/2006/main">
  <authors>
    <author>IBM_USER</author>
    <author>nehamap</author>
  </authors>
  <commentList>
    <comment ref="I6" authorId="0">
      <text>
        <r>
          <rPr>
            <sz val="11"/>
            <color indexed="81"/>
            <rFont val="Arial"/>
            <family val="2"/>
          </rPr>
          <t>ניתן להוסיף בעמודה כוכבית למיון מחדש</t>
        </r>
        <r>
          <rPr>
            <sz val="8"/>
            <color indexed="81"/>
            <rFont val="Tahoma"/>
            <family val="2"/>
          </rPr>
          <t xml:space="preserve">
</t>
        </r>
      </text>
    </comment>
    <comment ref="B28" authorId="1">
      <text>
        <r>
          <rPr>
            <sz val="12"/>
            <color indexed="81"/>
            <rFont val="Arial (Hebrew)"/>
          </rPr>
          <t>הפניה לסיווג / מיון מחדש יש להוסיף כאן</t>
        </r>
        <r>
          <rPr>
            <sz val="8"/>
            <color indexed="81"/>
            <rFont val="Tahoma"/>
            <family val="2"/>
          </rPr>
          <t xml:space="preserve">
</t>
        </r>
      </text>
    </comment>
  </commentList>
</comments>
</file>

<file path=xl/comments25.xml><?xml version="1.0" encoding="utf-8"?>
<comments xmlns="http://schemas.openxmlformats.org/spreadsheetml/2006/main">
  <authors>
    <author>nehamap</author>
  </authors>
  <commentList>
    <comment ref="F6" authorId="0">
      <text>
        <r>
          <rPr>
            <sz val="11"/>
            <color indexed="81"/>
            <rFont val="Arial"/>
            <family val="2"/>
          </rPr>
          <t>תעריף משוקלל צריך להיות גדול או שווה לתעריף מינימום</t>
        </r>
        <r>
          <rPr>
            <sz val="8"/>
            <color indexed="81"/>
            <rFont val="Tahoma"/>
            <family val="2"/>
          </rPr>
          <t xml:space="preserve">
</t>
        </r>
      </text>
    </comment>
  </commentList>
</comments>
</file>

<file path=xl/comments26.xml><?xml version="1.0" encoding="utf-8"?>
<comments xmlns="http://schemas.openxmlformats.org/spreadsheetml/2006/main">
  <authors>
    <author>שרית כהן</author>
  </authors>
  <commentList>
    <comment ref="K6" authorId="0">
      <text>
        <r>
          <rPr>
            <b/>
            <sz val="10"/>
            <color indexed="81"/>
            <rFont val="Tahoma"/>
            <family val="2"/>
          </rPr>
          <t>חדש משנת 2013</t>
        </r>
      </text>
    </comment>
  </commentList>
</comments>
</file>

<file path=xl/comments27.xml><?xml version="1.0" encoding="utf-8"?>
<comments xmlns="http://schemas.openxmlformats.org/spreadsheetml/2006/main">
  <authors>
    <author>שרית כהן</author>
  </authors>
  <commentList>
    <comment ref="K6" authorId="0">
      <text>
        <r>
          <rPr>
            <b/>
            <sz val="10"/>
            <color indexed="81"/>
            <rFont val="Tahoma"/>
            <family val="2"/>
          </rPr>
          <t>חדש משנת 2013-
 את סכום הסטיה יש להזין בנספח 7 לטופס 2.</t>
        </r>
      </text>
    </comment>
  </commentList>
</comments>
</file>

<file path=xl/comments28.xml><?xml version="1.0" encoding="utf-8"?>
<comments xmlns="http://schemas.openxmlformats.org/spreadsheetml/2006/main">
  <authors>
    <author>שרית כהן</author>
  </authors>
  <commentList>
    <comment ref="K6" authorId="0">
      <text>
        <r>
          <rPr>
            <b/>
            <sz val="10"/>
            <color indexed="81"/>
            <rFont val="Tahoma"/>
            <family val="2"/>
          </rPr>
          <t>חדש משנת 2013-
 את סכום  הסטיה יש להזין בנספח 7 לטופס 2.</t>
        </r>
      </text>
    </comment>
  </commentList>
</comments>
</file>

<file path=xl/comments29.xml><?xml version="1.0" encoding="utf-8"?>
<comments xmlns="http://schemas.openxmlformats.org/spreadsheetml/2006/main">
  <authors>
    <author>NehamaP</author>
  </authors>
  <commentList>
    <comment ref="C40" authorId="0">
      <text>
        <r>
          <rPr>
            <b/>
            <sz val="10"/>
            <color indexed="81"/>
            <rFont val="Arial"/>
            <family val="2"/>
          </rPr>
          <t>יש להכניס נתון בפלוס</t>
        </r>
      </text>
    </comment>
  </commentList>
</comments>
</file>

<file path=xl/comments3.xml><?xml version="1.0" encoding="utf-8"?>
<comments xmlns="http://schemas.openxmlformats.org/spreadsheetml/2006/main">
  <authors>
    <author>IBM_USER</author>
    <author>nehamap</author>
  </authors>
  <commentList>
    <comment ref="J5" authorId="0">
      <text>
        <r>
          <rPr>
            <sz val="11"/>
            <color indexed="81"/>
            <rFont val="Arial"/>
            <family val="2"/>
          </rPr>
          <t>ניתן להוסיף בעמודה כוכבית למיון מחדש</t>
        </r>
        <r>
          <rPr>
            <sz val="8"/>
            <color indexed="81"/>
            <rFont val="Tahoma"/>
            <family val="2"/>
          </rPr>
          <t xml:space="preserve">
</t>
        </r>
      </text>
    </comment>
    <comment ref="B14" authorId="1">
      <text>
        <r>
          <rPr>
            <b/>
            <u/>
            <sz val="11"/>
            <color indexed="81"/>
            <rFont val="Arial"/>
            <family val="2"/>
          </rPr>
          <t>לתשומת לב:</t>
        </r>
        <r>
          <rPr>
            <sz val="11"/>
            <color indexed="81"/>
            <rFont val="Arial"/>
            <family val="2"/>
          </rPr>
          <t xml:space="preserve">
התחייבויות לזמן ארוך (כגון המחאות לפרעון) יש להקליד בביאור 3 י. סה"כ הסעיף והכותרת "התחייבויות לזמן ארוך" יועתקו לסעיף הנוכחי. </t>
        </r>
        <r>
          <rPr>
            <u/>
            <sz val="11"/>
            <color indexed="81"/>
            <rFont val="Arial"/>
            <family val="2"/>
          </rPr>
          <t>שינוי כותרת הסעיף</t>
        </r>
        <r>
          <rPr>
            <sz val="11"/>
            <color indexed="81"/>
            <rFont val="Arial"/>
            <family val="2"/>
          </rPr>
          <t xml:space="preserve"> תבטל את האפשרות להעתקת הכותרת מביאור 3 י ויהיה צורך להקליד אותה ידנית.</t>
        </r>
      </text>
    </comment>
    <comment ref="G14" authorId="1">
      <text>
        <r>
          <rPr>
            <b/>
            <u/>
            <sz val="11"/>
            <color indexed="81"/>
            <rFont val="Arial"/>
            <family val="2"/>
          </rPr>
          <t>לתשומת לב:</t>
        </r>
        <r>
          <rPr>
            <sz val="11"/>
            <color indexed="81"/>
            <rFont val="Arial"/>
            <family val="2"/>
          </rPr>
          <t xml:space="preserve">
התחייבויות לזמן ארוך (כגון המחאות לפרעון) יש להקליד בביאור 3 י. סה"כ הסעיף והכותרת "התחייבויות לזמן ארוך" יועתקו לסעיף הנוכחי. </t>
        </r>
        <r>
          <rPr>
            <u/>
            <sz val="11"/>
            <color indexed="81"/>
            <rFont val="Arial"/>
            <family val="2"/>
          </rPr>
          <t>עדכון התא הנוכחי</t>
        </r>
        <r>
          <rPr>
            <sz val="11"/>
            <color indexed="81"/>
            <rFont val="Arial"/>
            <family val="2"/>
          </rPr>
          <t xml:space="preserve"> יבטל את האפשרות להעתקת הנתון מביאור 3 י ויהיה צורך להקליד אותו ידנית.</t>
        </r>
      </text>
    </comment>
    <comment ref="I14" authorId="1">
      <text>
        <r>
          <rPr>
            <b/>
            <u/>
            <sz val="11"/>
            <color indexed="81"/>
            <rFont val="Arial"/>
            <family val="2"/>
          </rPr>
          <t>לתשומת לב:</t>
        </r>
        <r>
          <rPr>
            <sz val="11"/>
            <color indexed="81"/>
            <rFont val="Arial"/>
            <family val="2"/>
          </rPr>
          <t xml:space="preserve">
התחייבויות לזמן ארוך (כגון המחאות לפרעון) יש להקליד בביאור 3 י. סה"כ הסעיף והכותרת "התחייבויות לזמן ארוך" יועתקו לסעיף הנוכחי. </t>
        </r>
        <r>
          <rPr>
            <u/>
            <sz val="11"/>
            <color indexed="81"/>
            <rFont val="Arial"/>
            <family val="2"/>
          </rPr>
          <t>עדכון התא הנוכחי</t>
        </r>
        <r>
          <rPr>
            <sz val="11"/>
            <color indexed="81"/>
            <rFont val="Arial"/>
            <family val="2"/>
          </rPr>
          <t xml:space="preserve"> יבטל את האפשרות להעתקת הנתון מביאור 3 י ויהיה צורך להקליד אותו ידנית.</t>
        </r>
      </text>
    </comment>
    <comment ref="B37" authorId="1">
      <text>
        <r>
          <rPr>
            <b/>
            <sz val="12"/>
            <color indexed="81"/>
            <rFont val="Arial (Hebrew)"/>
            <family val="2"/>
            <charset val="177"/>
          </rPr>
          <t>הפניה לסיווג / מיון מחדש יש להוסיף כאן</t>
        </r>
        <r>
          <rPr>
            <sz val="8"/>
            <color indexed="81"/>
            <rFont val="Tahoma"/>
            <family val="2"/>
          </rPr>
          <t xml:space="preserve">
</t>
        </r>
      </text>
    </comment>
    <comment ref="G38" authorId="1">
      <text>
        <r>
          <rPr>
            <sz val="11"/>
            <color indexed="81"/>
            <rFont val="Arial (Hebrew)"/>
            <family val="2"/>
            <charset val="177"/>
          </rPr>
          <t>באיזור זה ניתן להוסיף שמות חותמים נוספים כמו חשב מלווה בהתאם לצורך</t>
        </r>
        <r>
          <rPr>
            <sz val="8"/>
            <color indexed="81"/>
            <rFont val="Tahoma"/>
            <family val="2"/>
          </rPr>
          <t xml:space="preserve">
</t>
        </r>
      </text>
    </comment>
    <comment ref="I38" authorId="1">
      <text>
        <r>
          <rPr>
            <sz val="11"/>
            <color indexed="81"/>
            <rFont val="Arial (Hebrew)"/>
            <family val="2"/>
            <charset val="177"/>
          </rPr>
          <t>באיזור זה ניתן להוסיף שמות חותמים נוספים כמו חשב מלווה בהתאם לצורך</t>
        </r>
        <r>
          <rPr>
            <sz val="8"/>
            <color indexed="81"/>
            <rFont val="Tahoma"/>
            <family val="2"/>
          </rPr>
          <t xml:space="preserve">
</t>
        </r>
      </text>
    </comment>
  </commentList>
</comments>
</file>

<file path=xl/comments30.xml><?xml version="1.0" encoding="utf-8"?>
<comments xmlns="http://schemas.openxmlformats.org/spreadsheetml/2006/main">
  <authors>
    <author>שרית כהן</author>
  </authors>
  <commentList>
    <comment ref="C122" authorId="0">
      <text>
        <r>
          <rPr>
            <b/>
            <sz val="8"/>
            <color indexed="81"/>
            <rFont val="Tahoma"/>
            <family val="2"/>
          </rPr>
          <t>יש להזין בתא זה את הסיכום, אחרת, תיווצר טעות בבדיקת הצלבה 120.</t>
        </r>
      </text>
    </comment>
    <comment ref="D122" authorId="0">
      <text>
        <r>
          <rPr>
            <b/>
            <sz val="8"/>
            <color indexed="81"/>
            <rFont val="Tahoma"/>
            <family val="2"/>
          </rPr>
          <t>יש להזין בתא זה את הסיכום, אחרת, תיווצר טעות בבדיקת הצלבה 121.</t>
        </r>
      </text>
    </comment>
  </commentList>
</comments>
</file>

<file path=xl/comments31.xml><?xml version="1.0" encoding="utf-8"?>
<comments xmlns="http://schemas.openxmlformats.org/spreadsheetml/2006/main">
  <authors>
    <author>nehamap</author>
  </authors>
  <commentList>
    <comment ref="B49" authorId="0">
      <text>
        <r>
          <rPr>
            <sz val="11"/>
            <color indexed="81"/>
            <rFont val="Arial (Hebrew)"/>
            <family val="2"/>
            <charset val="177"/>
          </rPr>
          <t>יש לעדכן את כותרת הסעיף בנספח 1 לטופס 2 חלק ג. הכותרת תתעדכן בדוח זה באופן אוטומטי.</t>
        </r>
      </text>
    </comment>
  </commentList>
</comments>
</file>

<file path=xl/comments32.xml><?xml version="1.0" encoding="utf-8"?>
<comments xmlns="http://schemas.openxmlformats.org/spreadsheetml/2006/main">
  <authors>
    <author>nehamap</author>
  </authors>
  <commentList>
    <comment ref="B20" authorId="0">
      <text>
        <r>
          <rPr>
            <sz val="11"/>
            <color indexed="81"/>
            <rFont val="Arial (Hebrew)"/>
            <family val="2"/>
            <charset val="177"/>
          </rPr>
          <t xml:space="preserve">כולל את הסעיפים הבאים:
1. פעולות כלליות
2. הנחות בארנונה
3. חד פעמיות
4. רכישת מים
5. מענק שנתקבל להקטנת גרעון מצטבר
</t>
        </r>
      </text>
    </comment>
    <comment ref="B48" authorId="0">
      <text>
        <r>
          <rPr>
            <b/>
            <sz val="11"/>
            <color indexed="81"/>
            <rFont val="Arial (Hebrew)"/>
            <family val="2"/>
            <charset val="177"/>
          </rPr>
          <t>ניתן לשנות את התאריך בגליון נתונים משותפים</t>
        </r>
      </text>
    </comment>
  </commentList>
</comments>
</file>

<file path=xl/comments33.xml><?xml version="1.0" encoding="utf-8"?>
<comments xmlns="http://schemas.openxmlformats.org/spreadsheetml/2006/main">
  <authors>
    <author>IBM_USER</author>
  </authors>
  <commentList>
    <comment ref="B31" authorId="0">
      <text>
        <r>
          <rPr>
            <sz val="11"/>
            <color indexed="81"/>
            <rFont val="Arial"/>
            <family val="2"/>
          </rPr>
          <t>הערות לטופס ניתן להוסיף כאן</t>
        </r>
        <r>
          <rPr>
            <sz val="8"/>
            <color indexed="81"/>
            <rFont val="Tahoma"/>
            <family val="2"/>
          </rPr>
          <t xml:space="preserve">
</t>
        </r>
      </text>
    </comment>
  </commentList>
</comments>
</file>

<file path=xl/comments34.xml><?xml version="1.0" encoding="utf-8"?>
<comments xmlns="http://schemas.openxmlformats.org/spreadsheetml/2006/main">
  <authors>
    <author>שרית כהן</author>
  </authors>
  <commentList>
    <comment ref="C25" authorId="0">
      <text>
        <r>
          <rPr>
            <b/>
            <sz val="10"/>
            <color indexed="81"/>
            <rFont val="Tahoma"/>
            <family val="2"/>
          </rPr>
          <t>בהתאם להנחיות אין לרשום כאן נתוני תקן כ"א לנבחרים ולפנסיונרים.</t>
        </r>
      </text>
    </comment>
    <comment ref="C26" authorId="0">
      <text>
        <r>
          <rPr>
            <b/>
            <sz val="10"/>
            <color indexed="81"/>
            <rFont val="Tahoma"/>
            <family val="2"/>
          </rPr>
          <t>בהתאם להנחיות אין לרשום כאן נתוני תקן כ"א לנבחרים ולפנסיונרים.</t>
        </r>
      </text>
    </comment>
  </commentList>
</comments>
</file>

<file path=xl/comments35.xml><?xml version="1.0" encoding="utf-8"?>
<comments xmlns="http://schemas.openxmlformats.org/spreadsheetml/2006/main">
  <authors>
    <author>nehamap</author>
    <author>sarit</author>
    <author>שרית כהן</author>
  </authors>
  <commentList>
    <comment ref="M7" authorId="0">
      <text>
        <r>
          <rPr>
            <sz val="11"/>
            <color indexed="81"/>
            <rFont val="Arial (Hebrew)"/>
            <family val="2"/>
            <charset val="177"/>
          </rPr>
          <t xml:space="preserve">הוספת הערה ע"י רואה החשבון עבור המעיין. כל התאים בעמודה זמינים להקלדה חופשית
</t>
        </r>
        <r>
          <rPr>
            <b/>
            <u/>
            <sz val="11"/>
            <color indexed="81"/>
            <rFont val="Arial (Hebrew)"/>
          </rPr>
          <t>לתשומת לב:</t>
        </r>
        <r>
          <rPr>
            <sz val="8"/>
            <color indexed="81"/>
            <rFont val="Tahoma"/>
            <family val="2"/>
          </rPr>
          <t xml:space="preserve">
</t>
        </r>
        <r>
          <rPr>
            <sz val="11"/>
            <color indexed="81"/>
            <rFont val="Arial"/>
            <family val="2"/>
          </rPr>
          <t>חובה לתת הסבר במקרה של תוצאה לא תקינה</t>
        </r>
      </text>
    </comment>
    <comment ref="A30" authorId="1">
      <text>
        <r>
          <rPr>
            <b/>
            <sz val="8"/>
            <color indexed="81"/>
            <rFont val="Tahoma"/>
            <family val="2"/>
          </rPr>
          <t>חדש מ2014.</t>
        </r>
      </text>
    </comment>
    <comment ref="A34" authorId="1">
      <text>
        <r>
          <rPr>
            <b/>
            <sz val="8"/>
            <color indexed="81"/>
            <rFont val="Tahoma"/>
            <family val="2"/>
          </rPr>
          <t>חדש מ2014.</t>
        </r>
      </text>
    </comment>
    <comment ref="A35" authorId="1">
      <text>
        <r>
          <rPr>
            <b/>
            <sz val="8"/>
            <color indexed="81"/>
            <rFont val="Tahoma"/>
            <family val="2"/>
          </rPr>
          <t>חדש מ2014.</t>
        </r>
      </text>
    </comment>
    <comment ref="A36" authorId="1">
      <text>
        <r>
          <rPr>
            <b/>
            <sz val="8"/>
            <color indexed="81"/>
            <rFont val="Tahoma"/>
            <family val="2"/>
          </rPr>
          <t>חדש מ2015.</t>
        </r>
      </text>
    </comment>
    <comment ref="A42" authorId="1">
      <text>
        <r>
          <rPr>
            <b/>
            <sz val="8"/>
            <color indexed="81"/>
            <rFont val="Tahoma"/>
            <family val="2"/>
          </rPr>
          <t>חדש מ2014.</t>
        </r>
      </text>
    </comment>
    <comment ref="A46" authorId="1">
      <text>
        <r>
          <rPr>
            <b/>
            <sz val="8"/>
            <color indexed="81"/>
            <rFont val="Tahoma"/>
            <family val="2"/>
          </rPr>
          <t>חדש מ2015.</t>
        </r>
      </text>
    </comment>
    <comment ref="A49" authorId="1">
      <text>
        <r>
          <rPr>
            <b/>
            <sz val="8"/>
            <color indexed="81"/>
            <rFont val="Tahoma"/>
            <family val="2"/>
          </rPr>
          <t>חדש מ2015.</t>
        </r>
      </text>
    </comment>
    <comment ref="A52" authorId="1">
      <text>
        <r>
          <rPr>
            <b/>
            <sz val="8"/>
            <color indexed="81"/>
            <rFont val="Tahoma"/>
            <family val="2"/>
          </rPr>
          <t>חדש מ2015.</t>
        </r>
      </text>
    </comment>
    <comment ref="A55" authorId="1">
      <text>
        <r>
          <rPr>
            <b/>
            <sz val="8"/>
            <color indexed="81"/>
            <rFont val="Tahoma"/>
            <family val="2"/>
          </rPr>
          <t>חדש מ2015.</t>
        </r>
      </text>
    </comment>
    <comment ref="A87" authorId="1">
      <text>
        <r>
          <rPr>
            <b/>
            <sz val="8"/>
            <color indexed="81"/>
            <rFont val="Tahoma"/>
            <family val="2"/>
          </rPr>
          <t>חדש מ2014.</t>
        </r>
      </text>
    </comment>
    <comment ref="A88" authorId="1">
      <text>
        <r>
          <rPr>
            <b/>
            <sz val="8"/>
            <color indexed="81"/>
            <rFont val="Tahoma"/>
            <family val="2"/>
          </rPr>
          <t>חדש מ2014.</t>
        </r>
      </text>
    </comment>
    <comment ref="A142" authorId="1">
      <text>
        <r>
          <rPr>
            <b/>
            <sz val="8"/>
            <color indexed="81"/>
            <rFont val="Tahoma"/>
            <family val="2"/>
          </rPr>
          <t>חדש מ2014.</t>
        </r>
      </text>
    </comment>
    <comment ref="A179" authorId="1">
      <text>
        <r>
          <rPr>
            <b/>
            <sz val="8"/>
            <color indexed="81"/>
            <rFont val="Tahoma"/>
            <family val="2"/>
          </rPr>
          <t>חדש מ2014.</t>
        </r>
      </text>
    </comment>
    <comment ref="A187" authorId="1">
      <text>
        <r>
          <rPr>
            <b/>
            <sz val="8"/>
            <color indexed="81"/>
            <rFont val="Tahoma"/>
            <family val="2"/>
          </rPr>
          <t>חדש מ2015.</t>
        </r>
      </text>
    </comment>
    <comment ref="A269" authorId="1">
      <text>
        <r>
          <rPr>
            <b/>
            <sz val="8"/>
            <color indexed="81"/>
            <rFont val="Tahoma"/>
            <family val="2"/>
          </rPr>
          <t>חדש מ2014.</t>
        </r>
      </text>
    </comment>
    <comment ref="A270" authorId="1">
      <text>
        <r>
          <rPr>
            <b/>
            <sz val="8"/>
            <color indexed="81"/>
            <rFont val="Tahoma"/>
            <family val="2"/>
          </rPr>
          <t>חדש מ2014.</t>
        </r>
      </text>
    </comment>
    <comment ref="A271" authorId="1">
      <text>
        <r>
          <rPr>
            <b/>
            <sz val="8"/>
            <color indexed="81"/>
            <rFont val="Tahoma"/>
            <family val="2"/>
          </rPr>
          <t>חדש מ2014.</t>
        </r>
      </text>
    </comment>
    <comment ref="A272" authorId="1">
      <text>
        <r>
          <rPr>
            <b/>
            <sz val="8"/>
            <color indexed="81"/>
            <rFont val="Tahoma"/>
            <family val="2"/>
          </rPr>
          <t>חדש מ2014.</t>
        </r>
      </text>
    </comment>
    <comment ref="A273" authorId="1">
      <text>
        <r>
          <rPr>
            <b/>
            <sz val="8"/>
            <color indexed="81"/>
            <rFont val="Tahoma"/>
            <family val="2"/>
          </rPr>
          <t>חדש מ2014.</t>
        </r>
      </text>
    </comment>
    <comment ref="A274" authorId="1">
      <text>
        <r>
          <rPr>
            <b/>
            <sz val="8"/>
            <color indexed="81"/>
            <rFont val="Tahoma"/>
            <family val="2"/>
          </rPr>
          <t>חדש מ2014.</t>
        </r>
      </text>
    </comment>
    <comment ref="A275" authorId="1">
      <text>
        <r>
          <rPr>
            <b/>
            <sz val="8"/>
            <color indexed="81"/>
            <rFont val="Tahoma"/>
            <family val="2"/>
          </rPr>
          <t>חדש מ2014.</t>
        </r>
      </text>
    </comment>
    <comment ref="A276" authorId="1">
      <text>
        <r>
          <rPr>
            <b/>
            <sz val="8"/>
            <color indexed="81"/>
            <rFont val="Tahoma"/>
            <family val="2"/>
          </rPr>
          <t>חדש מ2014.</t>
        </r>
      </text>
    </comment>
    <comment ref="A277" authorId="1">
      <text>
        <r>
          <rPr>
            <b/>
            <sz val="8"/>
            <color indexed="81"/>
            <rFont val="Tahoma"/>
            <family val="2"/>
          </rPr>
          <t>חדש מ2014.</t>
        </r>
      </text>
    </comment>
    <comment ref="A278" authorId="1">
      <text>
        <r>
          <rPr>
            <b/>
            <sz val="8"/>
            <color indexed="81"/>
            <rFont val="Tahoma"/>
            <family val="2"/>
          </rPr>
          <t>חדש מ2014.</t>
        </r>
      </text>
    </comment>
    <comment ref="A279" authorId="1">
      <text>
        <r>
          <rPr>
            <b/>
            <sz val="8"/>
            <color indexed="81"/>
            <rFont val="Tahoma"/>
            <family val="2"/>
          </rPr>
          <t>חדש מ2014.</t>
        </r>
      </text>
    </comment>
    <comment ref="A280" authorId="1">
      <text>
        <r>
          <rPr>
            <b/>
            <sz val="8"/>
            <color indexed="81"/>
            <rFont val="Tahoma"/>
            <family val="2"/>
          </rPr>
          <t>חדש מ2014.</t>
        </r>
      </text>
    </comment>
    <comment ref="A281" authorId="1">
      <text>
        <r>
          <rPr>
            <b/>
            <sz val="8"/>
            <color indexed="81"/>
            <rFont val="Tahoma"/>
            <family val="2"/>
          </rPr>
          <t>חדש מ2014.</t>
        </r>
      </text>
    </comment>
    <comment ref="A282" authorId="1">
      <text>
        <r>
          <rPr>
            <b/>
            <sz val="8"/>
            <color indexed="81"/>
            <rFont val="Tahoma"/>
            <family val="2"/>
          </rPr>
          <t>חדש מ2014.</t>
        </r>
      </text>
    </comment>
    <comment ref="A283" authorId="1">
      <text>
        <r>
          <rPr>
            <b/>
            <sz val="8"/>
            <color indexed="81"/>
            <rFont val="Tahoma"/>
            <family val="2"/>
          </rPr>
          <t>חדש מ2015.</t>
        </r>
      </text>
    </comment>
    <comment ref="H283" authorId="2">
      <text>
        <r>
          <rPr>
            <sz val="9"/>
            <color indexed="81"/>
            <rFont val="Tahoma"/>
            <family val="2"/>
          </rPr>
          <t xml:space="preserve">
האם נרשם בנספח 4 לטופס 2 הסבר לסטיה בעלות הממוצעת? 
יש לבחור כן/לא .
</t>
        </r>
      </text>
    </comment>
    <comment ref="A284" authorId="1">
      <text>
        <r>
          <rPr>
            <b/>
            <sz val="8"/>
            <color indexed="81"/>
            <rFont val="Tahoma"/>
            <family val="2"/>
          </rPr>
          <t>חדש מ2015.</t>
        </r>
      </text>
    </comment>
    <comment ref="H284" authorId="2">
      <text>
        <r>
          <rPr>
            <sz val="9"/>
            <color indexed="81"/>
            <rFont val="Tahoma"/>
            <family val="2"/>
          </rPr>
          <t xml:space="preserve">
האם נרשם בנספח 4 לטופס 2 הסבר לסטיה בעלות הממוצעת? 
יש לבחור כן/לא .
</t>
        </r>
      </text>
    </comment>
    <comment ref="A285" authorId="1">
      <text>
        <r>
          <rPr>
            <b/>
            <sz val="8"/>
            <color indexed="81"/>
            <rFont val="Tahoma"/>
            <family val="2"/>
          </rPr>
          <t>חדש מ2015.</t>
        </r>
      </text>
    </comment>
    <comment ref="H285" authorId="2">
      <text>
        <r>
          <rPr>
            <sz val="9"/>
            <color indexed="81"/>
            <rFont val="Tahoma"/>
            <family val="2"/>
          </rPr>
          <t xml:space="preserve">
האם נרשם בנספח 4 לטופס 2 הסבר לסטיה בעלות הממוצעת? 
יש לבחור כן/לא .
</t>
        </r>
      </text>
    </comment>
    <comment ref="A286" authorId="1">
      <text>
        <r>
          <rPr>
            <b/>
            <sz val="8"/>
            <color indexed="81"/>
            <rFont val="Tahoma"/>
            <family val="2"/>
          </rPr>
          <t>חדש מ2015.</t>
        </r>
      </text>
    </comment>
    <comment ref="H286" authorId="2">
      <text>
        <r>
          <rPr>
            <sz val="9"/>
            <color indexed="81"/>
            <rFont val="Tahoma"/>
            <family val="2"/>
          </rPr>
          <t xml:space="preserve">
האם נרשם בנספח 4 לטופס 2 הסבר לסטיה בעלות הממוצעת? 
יש לבחור כן/לא .
</t>
        </r>
      </text>
    </comment>
    <comment ref="A287" authorId="1">
      <text>
        <r>
          <rPr>
            <b/>
            <sz val="8"/>
            <color indexed="81"/>
            <rFont val="Tahoma"/>
            <family val="2"/>
          </rPr>
          <t>חדש מ2015.</t>
        </r>
      </text>
    </comment>
    <comment ref="H287" authorId="2">
      <text>
        <r>
          <rPr>
            <sz val="9"/>
            <color indexed="81"/>
            <rFont val="Tahoma"/>
            <family val="2"/>
          </rPr>
          <t xml:space="preserve">
האם נרשם בנספח 4 לטופס 2 הסבר לסטיה בעלות הממוצעת? 
יש לבחור כן/לא .
</t>
        </r>
      </text>
    </comment>
    <comment ref="A288" authorId="1">
      <text>
        <r>
          <rPr>
            <b/>
            <sz val="8"/>
            <color indexed="81"/>
            <rFont val="Tahoma"/>
            <family val="2"/>
          </rPr>
          <t>חדש מ2015.</t>
        </r>
      </text>
    </comment>
    <comment ref="H288" authorId="2">
      <text>
        <r>
          <rPr>
            <sz val="9"/>
            <color indexed="81"/>
            <rFont val="Tahoma"/>
            <family val="2"/>
          </rPr>
          <t xml:space="preserve">
האם נרשם בנספח 4 לטופס 2 הסבר לסטיה בעלות הממוצעת? 
יש לבחור כן/לא .
</t>
        </r>
      </text>
    </comment>
    <comment ref="A290" authorId="1">
      <text>
        <r>
          <rPr>
            <b/>
            <sz val="8"/>
            <color indexed="81"/>
            <rFont val="Tahoma"/>
            <family val="2"/>
          </rPr>
          <t>חדש מ2015.</t>
        </r>
      </text>
    </comment>
    <comment ref="A321" authorId="1">
      <text>
        <r>
          <rPr>
            <b/>
            <sz val="8"/>
            <color indexed="81"/>
            <rFont val="Tahoma"/>
            <family val="2"/>
          </rPr>
          <t>חדש מ2014.</t>
        </r>
      </text>
    </comment>
    <comment ref="A325" authorId="1">
      <text>
        <r>
          <rPr>
            <b/>
            <sz val="8"/>
            <color indexed="81"/>
            <rFont val="Tahoma"/>
            <family val="2"/>
          </rPr>
          <t>חדש מ2014.</t>
        </r>
      </text>
    </comment>
  </commentList>
</comments>
</file>

<file path=xl/comments36.xml><?xml version="1.0" encoding="utf-8"?>
<comments xmlns="http://schemas.openxmlformats.org/spreadsheetml/2006/main">
  <authors>
    <author>sarit</author>
  </authors>
  <commentList>
    <comment ref="B8" authorId="0">
      <text>
        <r>
          <rPr>
            <b/>
            <sz val="8"/>
            <color indexed="81"/>
            <rFont val="Tahoma"/>
            <family val="2"/>
          </rPr>
          <t>יש לבחור מתוך הרשימה האם התקציב אושר על ידי משרד הפנים.</t>
        </r>
      </text>
    </comment>
    <comment ref="B11" authorId="0">
      <text>
        <r>
          <rPr>
            <b/>
            <sz val="8"/>
            <color indexed="81"/>
            <rFont val="Tahoma"/>
            <family val="2"/>
          </rPr>
          <t>יש לבחור מתוך הרשימה האם התקציב אושר על ידי המליאה.</t>
        </r>
      </text>
    </comment>
    <comment ref="B14" authorId="0">
      <text>
        <r>
          <rPr>
            <b/>
            <sz val="8"/>
            <color indexed="81"/>
            <rFont val="Tahoma"/>
            <family val="2"/>
          </rPr>
          <t xml:space="preserve">יש לבחור מתוך הרשימה האם ואיזו סטיה היתה בדוח המבקרים במידה והיתה. 
אחרת, יש לבחור את האפשרות האחרונה ברשימה.
</t>
        </r>
      </text>
    </comment>
    <comment ref="B17" authorId="0">
      <text>
        <r>
          <rPr>
            <b/>
            <sz val="8"/>
            <color indexed="81"/>
            <rFont val="Tahoma"/>
            <family val="2"/>
          </rPr>
          <t>באם היה מיון מחדש , יש לבחור זאת מתוך הרשימה.</t>
        </r>
      </text>
    </comment>
  </commentList>
</comments>
</file>

<file path=xl/comments37.xml><?xml version="1.0" encoding="utf-8"?>
<comments xmlns="http://schemas.openxmlformats.org/spreadsheetml/2006/main">
  <authors>
    <author>IGSi</author>
    <author>nehamap</author>
  </authors>
  <commentList>
    <comment ref="B20" authorId="0">
      <text>
        <r>
          <rPr>
            <sz val="8"/>
            <color indexed="81"/>
            <rFont val="Tahoma"/>
            <family val="2"/>
          </rPr>
          <t xml:space="preserve">יתרות חובה: מינוס
יתרות זכות: פלוס
</t>
        </r>
      </text>
    </comment>
    <comment ref="C20" authorId="0">
      <text>
        <r>
          <rPr>
            <sz val="8"/>
            <color indexed="81"/>
            <rFont val="Tahoma"/>
            <family val="2"/>
          </rPr>
          <t>יתרות חובה: מינוס
יתרות זכות: פלוס</t>
        </r>
        <r>
          <rPr>
            <sz val="8"/>
            <color indexed="81"/>
            <rFont val="Tahoma"/>
            <family val="2"/>
          </rPr>
          <t xml:space="preserve">
</t>
        </r>
      </text>
    </comment>
    <comment ref="A21" authorId="1">
      <text>
        <r>
          <rPr>
            <sz val="11"/>
            <color indexed="81"/>
            <rFont val="Arial (Hebrew)"/>
            <family val="2"/>
            <charset val="177"/>
          </rPr>
          <t>הנתון מגיע משורת הסיכום בביאור 3 ט. בסעיף זה ניתן להכניס גם קיזוזים מעודפים, הגדלת גרעון ועוד.</t>
        </r>
        <r>
          <rPr>
            <sz val="8"/>
            <color indexed="81"/>
            <rFont val="Tahoma"/>
            <family val="2"/>
          </rPr>
          <t xml:space="preserve">
</t>
        </r>
      </text>
    </comment>
  </commentList>
</comments>
</file>

<file path=xl/comments38.xml><?xml version="1.0" encoding="utf-8"?>
<comments xmlns="http://schemas.openxmlformats.org/spreadsheetml/2006/main">
  <authors>
    <author>nehamap</author>
  </authors>
  <commentList>
    <comment ref="B34" authorId="0">
      <text>
        <r>
          <rPr>
            <sz val="11"/>
            <color indexed="81"/>
            <rFont val="Arial (Hebrew)"/>
            <family val="2"/>
            <charset val="177"/>
          </rPr>
          <t>הנתון מגיע מביאור 3 ט</t>
        </r>
        <r>
          <rPr>
            <sz val="8"/>
            <color indexed="81"/>
            <rFont val="Tahoma"/>
            <family val="2"/>
          </rPr>
          <t xml:space="preserve">
</t>
        </r>
      </text>
    </comment>
  </commentList>
</comments>
</file>

<file path=xl/comments39.xml><?xml version="1.0" encoding="utf-8"?>
<comments xmlns="http://schemas.openxmlformats.org/spreadsheetml/2006/main">
  <authors>
    <author>nehamap</author>
  </authors>
  <commentList>
    <comment ref="B30" authorId="0">
      <text>
        <r>
          <rPr>
            <sz val="11"/>
            <color indexed="81"/>
            <rFont val="Arial"/>
            <family val="2"/>
          </rPr>
          <t>מיון הנתונים הותאם לאינדקס משרד הפנים. יש למיין בהתאם את מספרי שנה קודמת</t>
        </r>
        <r>
          <rPr>
            <sz val="8"/>
            <color indexed="81"/>
            <rFont val="Tahoma"/>
            <family val="2"/>
          </rPr>
          <t xml:space="preserve">
</t>
        </r>
      </text>
    </comment>
    <comment ref="B85" authorId="0">
      <text>
        <r>
          <rPr>
            <sz val="11"/>
            <color indexed="81"/>
            <rFont val="Arial (Hebrew)"/>
            <family val="2"/>
            <charset val="177"/>
          </rPr>
          <t xml:space="preserve">הפניה למיון / סיווג מחדש יש להקליד כאן
</t>
        </r>
      </text>
    </comment>
  </commentList>
</comments>
</file>

<file path=xl/comments4.xml><?xml version="1.0" encoding="utf-8"?>
<comments xmlns="http://schemas.openxmlformats.org/spreadsheetml/2006/main">
  <authors>
    <author>nehamap</author>
    <author>IBM_USER</author>
    <author>שרית כהן</author>
  </authors>
  <commentList>
    <comment ref="J7" authorId="0">
      <text>
        <r>
          <rPr>
            <b/>
            <sz val="11"/>
            <color indexed="81"/>
            <rFont val="Arial"/>
            <family val="2"/>
          </rPr>
          <t>הערה:</t>
        </r>
        <r>
          <rPr>
            <sz val="11"/>
            <color indexed="81"/>
            <rFont val="Arial"/>
            <family val="2"/>
          </rPr>
          <t xml:space="preserve">
 ב - </t>
        </r>
        <r>
          <rPr>
            <u/>
            <sz val="11"/>
            <color indexed="81"/>
            <rFont val="Arial"/>
            <family val="2"/>
          </rPr>
          <t>Word 2000</t>
        </r>
        <r>
          <rPr>
            <sz val="11"/>
            <color indexed="81"/>
            <rFont val="Arial"/>
            <family val="2"/>
          </rPr>
          <t xml:space="preserve"> תידרש פעולת עיצוב לתיקון מיקום הכוכבית. אם הכוכבית מופיעה במסמך ה - Word בצד ההוצאות במקום בצד ההכנסות יש לתקן את עיצוב העמודה באופן הבא:
1. יש לסמן את העמודה שבה מופיעה הכוכבית בתוך מסמך ה - Word.
2. יש לבחור בפקודה "עיצוב &gt;&gt; גבולות וצללית".
3. במסך "גבולות" ב - Word יש להוריד את הגבול הימני ולהוסיף גבול שמאלי.
הפעולה אינה נדרשת ב - Word XP.
</t>
        </r>
      </text>
    </comment>
    <comment ref="J8" authorId="1">
      <text>
        <r>
          <rPr>
            <sz val="11"/>
            <color indexed="81"/>
            <rFont val="Arial"/>
            <family val="2"/>
          </rPr>
          <t>ניתן להוסיף בעמודה כוכבית למיון מחדש</t>
        </r>
        <r>
          <rPr>
            <sz val="8"/>
            <color indexed="81"/>
            <rFont val="Tahoma"/>
            <family val="2"/>
          </rPr>
          <t xml:space="preserve">
</t>
        </r>
      </text>
    </comment>
    <comment ref="S8" authorId="1">
      <text>
        <r>
          <rPr>
            <sz val="11"/>
            <color indexed="81"/>
            <rFont val="Arial"/>
            <family val="2"/>
          </rPr>
          <t>ניתן להוסיף בעמודה כוכבית למיון מחדש</t>
        </r>
        <r>
          <rPr>
            <sz val="8"/>
            <color indexed="81"/>
            <rFont val="Tahoma"/>
            <family val="2"/>
          </rPr>
          <t xml:space="preserve">
</t>
        </r>
      </text>
    </comment>
    <comment ref="L43" authorId="0">
      <text>
        <r>
          <rPr>
            <sz val="11"/>
            <color indexed="81"/>
            <rFont val="Arial"/>
            <family val="2"/>
          </rPr>
          <t>יש לבחור מתוך הרשימה.</t>
        </r>
      </text>
    </comment>
    <comment ref="N43" authorId="2">
      <text>
        <r>
          <rPr>
            <b/>
            <sz val="8"/>
            <color indexed="81"/>
            <rFont val="Tahoma"/>
            <family val="2"/>
          </rPr>
          <t>תוכן הסעיף מגיע מסה"כ הוצאות מים בגליון
נתונים לטופס 2</t>
        </r>
      </text>
    </comment>
    <comment ref="L49" authorId="2">
      <text>
        <r>
          <rPr>
            <b/>
            <sz val="8"/>
            <color indexed="81"/>
            <rFont val="Tahoma"/>
            <family val="2"/>
          </rPr>
          <t>י</t>
        </r>
        <r>
          <rPr>
            <sz val="8"/>
            <color indexed="81"/>
            <rFont val="Tahoma"/>
            <family val="2"/>
          </rPr>
          <t>ש לבחור מתוך הרשימה</t>
        </r>
        <r>
          <rPr>
            <b/>
            <sz val="8"/>
            <color indexed="81"/>
            <rFont val="Tahoma"/>
            <family val="2"/>
          </rPr>
          <t>.</t>
        </r>
        <r>
          <rPr>
            <sz val="8"/>
            <color indexed="81"/>
            <rFont val="Tahoma"/>
            <family val="2"/>
          </rPr>
          <t xml:space="preserve">
</t>
        </r>
      </text>
    </comment>
    <comment ref="B56" authorId="0">
      <text>
        <r>
          <rPr>
            <sz val="11"/>
            <color indexed="81"/>
            <rFont val="Arial"/>
            <family val="2"/>
          </rPr>
          <t>השורה אינה נכללת בסה"כ</t>
        </r>
      </text>
    </comment>
    <comment ref="L56" authorId="0">
      <text>
        <r>
          <rPr>
            <sz val="11"/>
            <color indexed="81"/>
            <rFont val="Arial"/>
            <family val="2"/>
          </rPr>
          <t>השורה אינה נכללת בסה"כ</t>
        </r>
      </text>
    </comment>
    <comment ref="B57" authorId="0">
      <text>
        <r>
          <rPr>
            <b/>
            <sz val="12"/>
            <color indexed="81"/>
            <rFont val="Arial (Hebrew)"/>
            <family val="2"/>
            <charset val="177"/>
          </rPr>
          <t>הפניה לסיווג / מיון מחדש יש להוסיף כאן</t>
        </r>
        <r>
          <rPr>
            <sz val="8"/>
            <color indexed="81"/>
            <rFont val="Tahoma"/>
            <family val="2"/>
          </rPr>
          <t xml:space="preserve">
</t>
        </r>
      </text>
    </comment>
    <comment ref="B63" authorId="0">
      <text>
        <r>
          <rPr>
            <sz val="11"/>
            <color indexed="81"/>
            <rFont val="Arial"/>
            <family val="2"/>
          </rPr>
          <t>יש לבחור "מוין מחדש" באם מוין מחדש.</t>
        </r>
      </text>
    </comment>
  </commentList>
</comments>
</file>

<file path=xl/comments40.xml><?xml version="1.0" encoding="utf-8"?>
<comments xmlns="http://schemas.openxmlformats.org/spreadsheetml/2006/main">
  <authors>
    <author>sarit</author>
  </authors>
  <commentList>
    <comment ref="D6" authorId="0">
      <text>
        <r>
          <rPr>
            <b/>
            <sz val="8"/>
            <color indexed="81"/>
            <rFont val="Tahoma"/>
            <family val="2"/>
          </rPr>
          <t>יש לבחור מתוך הרשימה.</t>
        </r>
      </text>
    </comment>
  </commentList>
</comments>
</file>

<file path=xl/comments5.xml><?xml version="1.0" encoding="utf-8"?>
<comments xmlns="http://schemas.openxmlformats.org/spreadsheetml/2006/main">
  <authors>
    <author>IBM_USER</author>
    <author>IGSi</author>
    <author>NehamaP</author>
    <author>nehamap</author>
  </authors>
  <commentList>
    <comment ref="J7" authorId="0">
      <text>
        <r>
          <rPr>
            <sz val="11"/>
            <color indexed="81"/>
            <rFont val="Arial"/>
            <family val="2"/>
          </rPr>
          <t>ניתן להוסיף בעמודה כוכבית למיון מחדש</t>
        </r>
        <r>
          <rPr>
            <sz val="8"/>
            <color indexed="81"/>
            <rFont val="Tahoma"/>
            <family val="2"/>
          </rPr>
          <t xml:space="preserve">
</t>
        </r>
      </text>
    </comment>
    <comment ref="G32" authorId="1">
      <text>
        <r>
          <rPr>
            <b/>
            <sz val="10"/>
            <color indexed="81"/>
            <rFont val="Tahoma"/>
            <family val="2"/>
          </rPr>
          <t xml:space="preserve">לתשומת לב:
</t>
        </r>
        <r>
          <rPr>
            <sz val="10"/>
            <color indexed="81"/>
            <rFont val="Tahoma"/>
            <family val="2"/>
          </rPr>
          <t>אין לרשום נתונים בשדה זה אלא אם כן הנתון שונה מסוף שנה קודמת</t>
        </r>
      </text>
    </comment>
    <comment ref="G33" authorId="1">
      <text>
        <r>
          <rPr>
            <b/>
            <sz val="10"/>
            <color indexed="81"/>
            <rFont val="Tahoma"/>
            <family val="2"/>
          </rPr>
          <t xml:space="preserve">לתשומת לב:
1. </t>
        </r>
        <r>
          <rPr>
            <sz val="10"/>
            <color indexed="81"/>
            <rFont val="Tahoma"/>
            <family val="2"/>
          </rPr>
          <t>אין לרשום נתונים בשדה זה אלא אם כן הנתון שונה מסוף שנה קודמת</t>
        </r>
        <r>
          <rPr>
            <sz val="8"/>
            <color indexed="81"/>
            <rFont val="Tahoma"/>
            <family val="2"/>
          </rPr>
          <t xml:space="preserve">
</t>
        </r>
        <r>
          <rPr>
            <b/>
            <sz val="10"/>
            <color indexed="81"/>
            <rFont val="Tahoma"/>
            <family val="2"/>
          </rPr>
          <t>2.</t>
        </r>
        <r>
          <rPr>
            <sz val="10"/>
            <color indexed="81"/>
            <rFont val="Tahoma"/>
            <family val="2"/>
          </rPr>
          <t xml:space="preserve"> יש להקליד נתון בפלוס</t>
        </r>
      </text>
    </comment>
    <comment ref="I33" authorId="2">
      <text>
        <r>
          <rPr>
            <sz val="10"/>
            <color indexed="81"/>
            <rFont val="Tahoma"/>
            <family val="2"/>
          </rPr>
          <t>יש להקליד נתון בפלוס</t>
        </r>
      </text>
    </comment>
    <comment ref="I43" authorId="2">
      <text>
        <r>
          <rPr>
            <sz val="10"/>
            <color indexed="81"/>
            <rFont val="Tahoma"/>
            <family val="2"/>
          </rPr>
          <t>יש להקליד נתון בפלוס</t>
        </r>
      </text>
    </comment>
    <comment ref="C50" authorId="3">
      <text>
        <r>
          <rPr>
            <b/>
            <sz val="12"/>
            <color indexed="81"/>
            <rFont val="Arial (Hebrew)"/>
            <family val="2"/>
            <charset val="177"/>
          </rPr>
          <t>הפניה לסיווג / מיון מחדש יש להוסיף כאן</t>
        </r>
        <r>
          <rPr>
            <sz val="8"/>
            <color indexed="81"/>
            <rFont val="Tahoma"/>
            <family val="2"/>
          </rPr>
          <t xml:space="preserve">
</t>
        </r>
      </text>
    </comment>
  </commentList>
</comments>
</file>

<file path=xl/comments6.xml><?xml version="1.0" encoding="utf-8"?>
<comments xmlns="http://schemas.openxmlformats.org/spreadsheetml/2006/main">
  <authors>
    <author>nehamap</author>
  </authors>
  <commentList>
    <comment ref="C7" authorId="0">
      <text>
        <r>
          <rPr>
            <sz val="11"/>
            <color indexed="81"/>
            <rFont val="Arial (Hebrew)"/>
            <family val="2"/>
            <charset val="177"/>
          </rPr>
          <t xml:space="preserve">כאשר לא נדרשת התאמה ניתן למחוק / לעדכן את מספר ההתאמה בגליון </t>
        </r>
        <r>
          <rPr>
            <u/>
            <sz val="11"/>
            <color indexed="81"/>
            <rFont val="Arial (Hebrew)"/>
          </rPr>
          <t>התאמות לטופס 4</t>
        </r>
      </text>
    </comment>
  </commentList>
</comments>
</file>

<file path=xl/comments7.xml><?xml version="1.0" encoding="utf-8"?>
<comments xmlns="http://schemas.openxmlformats.org/spreadsheetml/2006/main">
  <authors>
    <author>nehamap</author>
  </authors>
  <commentList>
    <comment ref="B83" authorId="0">
      <text>
        <r>
          <rPr>
            <sz val="11"/>
            <color indexed="81"/>
            <rFont val="Arial"/>
            <family val="2"/>
          </rPr>
          <t>מטרתה של ההתאמה היא לנטרל העברות לכיסוי גרעון מצטבר שיועדו לכך על ידי הרשות המקומית, להבדיל מסכומים שייעודם המקורי הנו לכיסוי גרעון מצטבר כדוגמת מענק לכיסוי גרעון בביאור 4.</t>
        </r>
      </text>
    </comment>
  </commentList>
</comments>
</file>

<file path=xl/comments8.xml><?xml version="1.0" encoding="utf-8"?>
<comments xmlns="http://schemas.openxmlformats.org/spreadsheetml/2006/main">
  <authors>
    <author>שרית כהן</author>
    <author>sarit</author>
  </authors>
  <commentList>
    <comment ref="B28" authorId="0">
      <text>
        <r>
          <rPr>
            <b/>
            <sz val="9"/>
            <color indexed="81"/>
            <rFont val="Tahoma"/>
            <family val="2"/>
          </rPr>
          <t xml:space="preserve">בהתאם לסעיף 206(ג) לפקודת העיריות, תקציב עירייה </t>
        </r>
        <r>
          <rPr>
            <b/>
            <sz val="13"/>
            <color indexed="81"/>
            <rFont val="Tahoma"/>
            <family val="2"/>
          </rPr>
          <t>איתנה</t>
        </r>
        <r>
          <rPr>
            <b/>
            <sz val="9"/>
            <color indexed="81"/>
            <rFont val="Tahoma"/>
            <family val="2"/>
          </rPr>
          <t xml:space="preserve"> אינו טעון אישור השר. 
בהתאם להנחיות משרד הפנים, תקציב רשות </t>
        </r>
        <r>
          <rPr>
            <b/>
            <sz val="13"/>
            <color indexed="81"/>
            <rFont val="Tahoma"/>
            <family val="2"/>
          </rPr>
          <t>יציבה</t>
        </r>
        <r>
          <rPr>
            <b/>
            <sz val="9"/>
            <color indexed="81"/>
            <rFont val="Tahoma"/>
            <family val="2"/>
          </rPr>
          <t xml:space="preserve">  ייראה כמאושר באם משרד הפנים לא השיג על התקציב תוך 30 יום.
 יש לעדכן באור זה בהתאם.</t>
        </r>
      </text>
    </comment>
    <comment ref="C30" authorId="0">
      <text>
        <r>
          <rPr>
            <b/>
            <sz val="8"/>
            <color indexed="81"/>
            <rFont val="Tahoma"/>
            <family val="2"/>
          </rPr>
          <t xml:space="preserve">
-באם הרשות הינה רשות </t>
        </r>
        <r>
          <rPr>
            <b/>
            <sz val="12"/>
            <color indexed="81"/>
            <rFont val="Tahoma"/>
            <family val="2"/>
          </rPr>
          <t xml:space="preserve">איתנה </t>
        </r>
        <r>
          <rPr>
            <b/>
            <sz val="8"/>
            <color indexed="81"/>
            <rFont val="Tahoma"/>
            <family val="2"/>
          </rPr>
          <t xml:space="preserve">יש למחוק שורה זאת.
- באם הרשות הינה רשות </t>
        </r>
        <r>
          <rPr>
            <b/>
            <sz val="12"/>
            <color indexed="81"/>
            <rFont val="Tahoma"/>
            <family val="2"/>
          </rPr>
          <t>יציבה</t>
        </r>
        <r>
          <rPr>
            <b/>
            <sz val="8"/>
            <color indexed="81"/>
            <rFont val="Tahoma"/>
            <family val="2"/>
          </rPr>
          <t xml:space="preserve"> ,יש למחוק שורה זאת ולהזין את הנתונים הרלוונטים בשורה 32.</t>
        </r>
      </text>
    </comment>
    <comment ref="C31" authorId="1">
      <text>
        <r>
          <rPr>
            <b/>
            <sz val="8"/>
            <color indexed="81"/>
            <rFont val="Tahoma"/>
            <family val="2"/>
          </rPr>
          <t xml:space="preserve">יש להזין בתא זה פרטים בדבר עדכון התקציב. יש לוודא כי גם בנספח 1 לטופס 2 נכללו נתוני עדכון התקציב.
- באם הרשות הינה רשות </t>
        </r>
        <r>
          <rPr>
            <b/>
            <sz val="12"/>
            <color indexed="81"/>
            <rFont val="Tahoma"/>
            <family val="2"/>
          </rPr>
          <t>איתנה</t>
        </r>
        <r>
          <rPr>
            <b/>
            <sz val="8"/>
            <color indexed="81"/>
            <rFont val="Tahoma"/>
            <family val="2"/>
          </rPr>
          <t xml:space="preserve"> יש למחוק שורה זאת.
- באם הרשות הינה רשות </t>
        </r>
        <r>
          <rPr>
            <b/>
            <sz val="12"/>
            <color indexed="81"/>
            <rFont val="Tahoma"/>
            <family val="2"/>
          </rPr>
          <t>יציבה</t>
        </r>
        <r>
          <rPr>
            <b/>
            <sz val="8"/>
            <color indexed="81"/>
            <rFont val="Tahoma"/>
            <family val="2"/>
          </rPr>
          <t xml:space="preserve">  יש למחוק שורה זו ולעדכן את שורה 32.</t>
        </r>
      </text>
    </comment>
    <comment ref="C32" authorId="0">
      <text>
        <r>
          <rPr>
            <b/>
            <sz val="9"/>
            <color indexed="81"/>
            <rFont val="Tahoma"/>
            <family val="2"/>
          </rPr>
          <t xml:space="preserve">
לרשות </t>
        </r>
        <r>
          <rPr>
            <b/>
            <sz val="12"/>
            <color indexed="81"/>
            <rFont val="Tahoma"/>
            <family val="2"/>
          </rPr>
          <t>יציבה</t>
        </r>
        <r>
          <rPr>
            <b/>
            <sz val="9"/>
            <color indexed="81"/>
            <rFont val="Tahoma"/>
            <family val="2"/>
          </rPr>
          <t xml:space="preserve"> - יש לעדכן פיסקה זו.
רשויות אחרות-יש למחוק.</t>
        </r>
      </text>
    </comment>
    <comment ref="C34" authorId="1">
      <text>
        <r>
          <rPr>
            <b/>
            <sz val="8"/>
            <color indexed="81"/>
            <rFont val="Tahoma"/>
            <family val="2"/>
          </rPr>
          <t xml:space="preserve">
יש להזין בתא זה פרטים בדבר עדכון התקציב ע"י המועצה.
באם לא בוצע עדכון לתקציב, יש 
למחוק שורה זאת.</t>
        </r>
      </text>
    </comment>
    <comment ref="B37" authorId="0">
      <text>
        <r>
          <rPr>
            <b/>
            <sz val="9"/>
            <color indexed="81"/>
            <rFont val="Tahoma"/>
            <family val="2"/>
          </rPr>
          <t xml:space="preserve">
מיועד למועצות אזוריות בלבד.
הסעיף ניתן לעריכה.</t>
        </r>
        <r>
          <rPr>
            <sz val="9"/>
            <color indexed="81"/>
            <rFont val="Tahoma"/>
            <family val="2"/>
          </rPr>
          <t xml:space="preserve">
</t>
        </r>
      </text>
    </comment>
    <comment ref="J40" authorId="0">
      <text>
        <r>
          <rPr>
            <b/>
            <sz val="8"/>
            <color indexed="81"/>
            <rFont val="Tahoma"/>
            <family val="2"/>
          </rPr>
          <t xml:space="preserve">
באם אין סעיף מסויים ברשות יש למחוק את הסעיף הרלוונטי ולמספר 
מחדש את הסעיפים הבאים.</t>
        </r>
      </text>
    </comment>
  </commentList>
</comments>
</file>

<file path=xl/comments9.xml><?xml version="1.0" encoding="utf-8"?>
<comments xmlns="http://schemas.openxmlformats.org/spreadsheetml/2006/main">
  <authors>
    <author>שרית כהן</author>
  </authors>
  <commentList>
    <comment ref="I8" authorId="0">
      <text>
        <r>
          <rPr>
            <b/>
            <sz val="8"/>
            <color indexed="81"/>
            <rFont val="Tahoma"/>
            <family val="2"/>
          </rPr>
          <t>באם אין סעיף מסויים ברשות יש למחוק את הסעיף הרלוונטי ולמספר מחדש את הסעיפים הבאים.</t>
        </r>
        <r>
          <rPr>
            <sz val="8"/>
            <color indexed="81"/>
            <rFont val="Tahoma"/>
            <family val="2"/>
          </rPr>
          <t xml:space="preserve">
</t>
        </r>
      </text>
    </comment>
  </commentList>
</comments>
</file>

<file path=xl/sharedStrings.xml><?xml version="1.0" encoding="utf-8"?>
<sst xmlns="http://schemas.openxmlformats.org/spreadsheetml/2006/main" count="5089" uniqueCount="2687">
  <si>
    <t>תוכן הביאור אינו מועבר ל - Word. ביאורים שיש להעביר ל - Word יש להקליד בגליון "ביאורים נוספים"</t>
  </si>
  <si>
    <t>הכנסות ממשרדי ממשלה  - לא כולל מענקים  (סעיפי 920 - 999)</t>
  </si>
  <si>
    <t>משרד החינוך 920-929</t>
  </si>
  <si>
    <t>משרד הרווחה 930-939</t>
  </si>
  <si>
    <t>משרדים ייעודיים אחרים 940-999</t>
  </si>
  <si>
    <t>מלוות שנתקבלו לאיזון</t>
  </si>
  <si>
    <t>מענקים להקטנת גרעון מצטבר</t>
  </si>
  <si>
    <t>מלוות למחזור ולאיזון</t>
  </si>
  <si>
    <t>תיקון יתרת פתיחה</t>
  </si>
  <si>
    <t>חיובים במהלך התקופה בגין ריבית והצמדה</t>
  </si>
  <si>
    <t>מענקים ומלוות</t>
  </si>
  <si>
    <t>פעולות אחרות</t>
  </si>
  <si>
    <r>
      <t xml:space="preserve">התקציב לשנת </t>
    </r>
    <r>
      <rPr>
        <sz val="10"/>
        <color indexed="12"/>
        <rFont val="Arial"/>
        <family val="2"/>
      </rPr>
      <t>&lt;שנה&gt;</t>
    </r>
    <r>
      <rPr>
        <sz val="10"/>
        <rFont val="Arial"/>
        <family val="2"/>
      </rPr>
      <t xml:space="preserve"> אושר בתחילה ע"י משרד הפנים בתאריך </t>
    </r>
    <r>
      <rPr>
        <sz val="10"/>
        <color indexed="12"/>
        <rFont val="Arial"/>
        <family val="2"/>
      </rPr>
      <t>&lt;תאריך&gt;</t>
    </r>
    <r>
      <rPr>
        <sz val="10"/>
        <rFont val="Arial"/>
        <family val="2"/>
      </rPr>
      <t xml:space="preserve"> ועדכונו אושר בתאריך </t>
    </r>
    <r>
      <rPr>
        <sz val="10"/>
        <color indexed="12"/>
        <rFont val="Arial"/>
        <family val="2"/>
      </rPr>
      <t>&lt;תאריך&gt;</t>
    </r>
    <r>
      <rPr>
        <sz val="10"/>
        <rFont val="Arial"/>
        <family val="2"/>
      </rPr>
      <t>.</t>
    </r>
  </si>
  <si>
    <r>
      <t>הועדים המקומיים. רישום ההכנסות ממכסות הוא על בסיס מזומן / מצטבר</t>
    </r>
    <r>
      <rPr>
        <sz val="10"/>
        <color indexed="12"/>
        <rFont val="Arial"/>
        <family val="2"/>
      </rPr>
      <t xml:space="preserve"> (מחק את המיותר) </t>
    </r>
  </si>
  <si>
    <r>
      <t xml:space="preserve">נתוני עודף / גרעון בתקציב הרגיל: </t>
    </r>
    <r>
      <rPr>
        <sz val="10"/>
        <rFont val="Arial"/>
        <family val="2"/>
      </rPr>
      <t>הנתונים בסעיף זה משמשים לקביעת צד המאזן בו יופיעו הנתונים ומועתקים אוטומטית לצד המאזן המתאים</t>
    </r>
  </si>
  <si>
    <r>
      <t>לתשומת לב:</t>
    </r>
    <r>
      <rPr>
        <sz val="8"/>
        <rFont val="Arial"/>
        <family val="2"/>
        <charset val="177"/>
      </rPr>
      <t xml:space="preserve"> יתרות חובה (גרעונות) יוקלדו בסימן מינוס ויתרות זכות (עודפים והשתתפויות) בסימן פלוס</t>
    </r>
  </si>
  <si>
    <t>תשלומים מקרן לעבודות פיתוח</t>
  </si>
  <si>
    <t>העברות מקרנות ואחרות</t>
  </si>
  <si>
    <r>
      <t xml:space="preserve">סה"כ מ"ר </t>
    </r>
    <r>
      <rPr>
        <b/>
        <sz val="10"/>
        <color indexed="18"/>
        <rFont val="Arial"/>
        <family val="2"/>
      </rPr>
      <t>למגורים</t>
    </r>
    <r>
      <rPr>
        <sz val="10"/>
        <color indexed="8"/>
        <rFont val="Arial"/>
        <family val="2"/>
        <charset val="177"/>
      </rPr>
      <t xml:space="preserve"> לפי טבלת שטחים וגביה (נספח א לדוח הביקורת המפורט)</t>
    </r>
  </si>
  <si>
    <r>
      <t xml:space="preserve">סה"כ חיוב </t>
    </r>
    <r>
      <rPr>
        <b/>
        <sz val="10"/>
        <color indexed="18"/>
        <rFont val="Arial"/>
        <family val="2"/>
      </rPr>
      <t>למגורים</t>
    </r>
    <r>
      <rPr>
        <sz val="10"/>
        <color indexed="8"/>
        <rFont val="Arial"/>
        <family val="2"/>
        <charset val="177"/>
      </rPr>
      <t xml:space="preserve"> באלפי ש"ח לפי טבלת שטחים וגביה (נספח א לדוח הביקורת המפורט)</t>
    </r>
  </si>
  <si>
    <t>מלאכה</t>
  </si>
  <si>
    <t>נכסים אחרים</t>
  </si>
  <si>
    <t>חניונים</t>
  </si>
  <si>
    <t>סוג גוף מבוקר</t>
  </si>
  <si>
    <t>סכומים להקטנת גרעון</t>
  </si>
  <si>
    <t>מענקים להקטנת גרעון</t>
  </si>
  <si>
    <t>מלוות להקטנת גרעון</t>
  </si>
  <si>
    <t>הערה: בגליון זה יוצגו פירוטים נוספים לסעיפי המאזן. הביאור ניתן להקלדה חופשית</t>
  </si>
  <si>
    <t>העברה לתקציב הרגיל</t>
  </si>
  <si>
    <t>העברה לגרעון מצטבר</t>
  </si>
  <si>
    <t>ארנונה אחרת</t>
  </si>
  <si>
    <t>סה"כ ארנונה</t>
  </si>
  <si>
    <t>ארנונה למגורים</t>
  </si>
  <si>
    <t>אגרת מים וביוב</t>
  </si>
  <si>
    <t>1.1</t>
  </si>
  <si>
    <t>1.2</t>
  </si>
  <si>
    <t>חובות מסופקים וחובות למחיקה ארנונה</t>
  </si>
  <si>
    <t>אגרת מים</t>
  </si>
  <si>
    <t>חובות מסופקים וחובות למחיקה מים</t>
  </si>
  <si>
    <t>סה"כ מים</t>
  </si>
  <si>
    <t>1.3</t>
  </si>
  <si>
    <t>2.3</t>
  </si>
  <si>
    <t>חובות מסופקים וחובות למחיקה אחרים</t>
  </si>
  <si>
    <t>חובות מסופקים וחוובת למחיקה ארנונה</t>
  </si>
  <si>
    <t>2.2</t>
  </si>
  <si>
    <t>דוח ביצוע התקציב הרגיל - ממוין לפי מסגרת משרד הפנים</t>
  </si>
  <si>
    <t>הסעיף</t>
  </si>
  <si>
    <t>מענקים מיועדים</t>
  </si>
  <si>
    <t>סה"כ  ללא כיסוי גרעון מצטבר</t>
  </si>
  <si>
    <t>סה"כ הכנסות</t>
  </si>
  <si>
    <t>רכישת מים</t>
  </si>
  <si>
    <t>מענק לכיסוי גרעון מצטבר</t>
  </si>
  <si>
    <t xml:space="preserve">*** התאמה לטופס 2: </t>
  </si>
  <si>
    <t>השקעות במימון קרנות בלתי מתוקצבות</t>
  </si>
  <si>
    <t>השקעות במימון קרנות מתוקצבות</t>
  </si>
  <si>
    <t>השקעות לכיסוי קרנות מתוקצבות ואחרות</t>
  </si>
  <si>
    <t>סה"כ השקעות במימון קרנות מתוקצבות</t>
  </si>
  <si>
    <t>סה"כ חיוב שנה קודמת</t>
  </si>
  <si>
    <t>סה"כ חיוב אזורי תעשיה משותפים שנה קודמת</t>
  </si>
  <si>
    <t>סה"כ חיוב ארנונה (כולל אזורי תעשיה משותפים)</t>
  </si>
  <si>
    <t>מענקים מיוחדים</t>
  </si>
  <si>
    <t>1. פירוט לנספח 1 לטופס 2 חלק ב</t>
  </si>
  <si>
    <t>2. פירוטים לנספח 1 לטופס 2 חלק ג</t>
  </si>
  <si>
    <t>(מזין את הדוח לתושב ודוח נתונים כספיים מבוקרים)</t>
  </si>
  <si>
    <t>סה"כ הכנסות עצמיות - ביצוע</t>
  </si>
  <si>
    <t>סה"כ הכנסות עצמיות - תקציב</t>
  </si>
  <si>
    <t>השקעות לכיסוי קרנות במאזן צריך להתאים לפירוט הקרנות בביאור 3</t>
  </si>
  <si>
    <t>סה"כ חיוב שנתי ברוטו (לפני הנחות, ובניכוי חובות מסופקים וחובות למחיקה)</t>
  </si>
  <si>
    <t>נספח 4 לטופס 2 חלק ב</t>
  </si>
  <si>
    <t>נספח 4 לטופס 2 חלק א</t>
  </si>
  <si>
    <t>נתונים לנספח 4 לטופס 2 חלק א</t>
  </si>
  <si>
    <t>ביצוע עלויות שכר סה"כ כללי</t>
  </si>
  <si>
    <t>סה"כ ביצוע שנה נוכחית</t>
  </si>
  <si>
    <t>אין התאמה בין סה"כ עלויות שכר בדוח שכר לפי פרקי תקציב לבין סה"כ ביצוע שנה נוכחית בדוח שכר לפי מרכיבי השכר</t>
  </si>
  <si>
    <t>מספר משרות סה"כ כללי</t>
  </si>
  <si>
    <t>אין התאמה בין סה"כ מס' משרות בדוח שכר לפי פרקי תקציב לבין סה"כ מצבת משרות כ"א בנספח 4 לטופס 2 חלק ב</t>
  </si>
  <si>
    <t>תקציב עלויות שכר סה"כ כללי</t>
  </si>
  <si>
    <t>תקציב שכר</t>
  </si>
  <si>
    <t>אין התאמה בין סה"כ תקציב שכר בדוח שכר לפי פרקי תקציב לבין סה"כ תקציב שכר ומשכורות בנספח 1 לטופס 2 חלק ג</t>
  </si>
  <si>
    <r>
      <t xml:space="preserve">פירוטים לטופס 2 (הוצאות מים) - </t>
    </r>
    <r>
      <rPr>
        <u/>
        <sz val="8"/>
        <color indexed="62"/>
        <rFont val="Arial"/>
        <family val="2"/>
      </rPr>
      <t>נתונים לטופס 2</t>
    </r>
    <r>
      <rPr>
        <u/>
        <sz val="8"/>
        <rFont val="Arial"/>
        <family val="2"/>
      </rPr>
      <t>*</t>
    </r>
  </si>
  <si>
    <r>
      <t xml:space="preserve">פירוטים לנספח 1 לטופס 2 חלק ב וחלק ג - </t>
    </r>
    <r>
      <rPr>
        <u/>
        <sz val="8"/>
        <color indexed="62"/>
        <rFont val="Arial"/>
        <family val="2"/>
      </rPr>
      <t>נתונים לנספח 1 לטופס 2</t>
    </r>
    <r>
      <rPr>
        <u/>
        <sz val="8"/>
        <rFont val="Arial"/>
        <family val="2"/>
      </rPr>
      <t>*</t>
    </r>
  </si>
  <si>
    <r>
      <t xml:space="preserve">שכר ומשרות לפי פרקי תקציב - </t>
    </r>
    <r>
      <rPr>
        <u/>
        <sz val="8"/>
        <color indexed="62"/>
        <rFont val="Arial"/>
        <family val="2"/>
      </rPr>
      <t>נספח 4 לטופס 2 חלק ב*</t>
    </r>
  </si>
  <si>
    <r>
      <t xml:space="preserve">טבלת שטחים וגביה </t>
    </r>
    <r>
      <rPr>
        <u/>
        <sz val="8"/>
        <color indexed="62"/>
        <rFont val="Arial"/>
        <family val="2"/>
      </rPr>
      <t>נס.א</t>
    </r>
    <r>
      <rPr>
        <u/>
        <sz val="8"/>
        <rFont val="Arial"/>
        <family val="2"/>
      </rPr>
      <t>*</t>
    </r>
  </si>
  <si>
    <t>תמיכות והשתתפויות*</t>
  </si>
  <si>
    <t>ביאורים 6-9*</t>
  </si>
  <si>
    <t>ביאורים נוספים*</t>
  </si>
  <si>
    <r>
      <t xml:space="preserve">שינויים מהותיים בין תקציב השנה שנסתיימה לביצוע בשנה הקודמת - </t>
    </r>
    <r>
      <rPr>
        <u/>
        <sz val="8"/>
        <color indexed="62"/>
        <rFont val="Arial"/>
        <family val="2"/>
      </rPr>
      <t>נספח 7 לטופס 2</t>
    </r>
  </si>
  <si>
    <r>
      <t xml:space="preserve">השוואת תקציב בשנה שנסתיימה לעומת הביצוע בשנה שנסתיימה - </t>
    </r>
    <r>
      <rPr>
        <u/>
        <sz val="8"/>
        <color indexed="62"/>
        <rFont val="Arial"/>
        <family val="2"/>
      </rPr>
      <t>נספח 9 לטופס 2</t>
    </r>
  </si>
  <si>
    <r>
      <t xml:space="preserve">נתוני כוח אדם והוצאות שכר - </t>
    </r>
    <r>
      <rPr>
        <u/>
        <sz val="8"/>
        <color indexed="62"/>
        <rFont val="Arial"/>
        <family val="2"/>
      </rPr>
      <t>נספח 4 לטופס 2 חלק א</t>
    </r>
  </si>
  <si>
    <r>
      <t xml:space="preserve">השוואת הביצוע בשנה שנסתיימה לעומת הביצוע בשנה הקודמת - </t>
    </r>
    <r>
      <rPr>
        <u/>
        <sz val="8"/>
        <color indexed="62"/>
        <rFont val="Arial"/>
        <family val="2"/>
      </rPr>
      <t>נספח 8 לטופס 2</t>
    </r>
  </si>
  <si>
    <r>
      <t xml:space="preserve">נתוני כח אדם ושכר - </t>
    </r>
    <r>
      <rPr>
        <u/>
        <sz val="8"/>
        <color indexed="62"/>
        <rFont val="Arial"/>
        <family val="2"/>
      </rPr>
      <t>נתונים לנספח 4 לטופס 2 חלק א</t>
    </r>
    <r>
      <rPr>
        <u/>
        <sz val="8"/>
        <rFont val="Arial"/>
        <family val="2"/>
      </rPr>
      <t>*</t>
    </r>
  </si>
  <si>
    <t>גרעון/עודף לתחילת שנה צריך להתאים לגרעון לסוף שנה קודמת. במיון/סיווג מחדש יש להפנות לביאור</t>
  </si>
  <si>
    <t>גרעון/ עודףלתחילת שנה צריך להתאים לגרעון לסוף שנה קודמת. במיון/סיווג מחדש יש להפנות לביאור</t>
  </si>
  <si>
    <t>השקעות במימון קרנות צריכות להתאים לקרנות מתוקצבות בפאסיב</t>
  </si>
  <si>
    <t>המאזן אינו מאוזן</t>
  </si>
  <si>
    <t>חיוב מיסים במאזן אינו תואם את נספח 2 לטופס 1</t>
  </si>
  <si>
    <t>יתרת פתיחה שנה נוכחית בביאור 5 צריכה להתאים ליתרת סגירה שנה קודמת</t>
  </si>
  <si>
    <t>ארנונה כללית</t>
  </si>
  <si>
    <t>יתרת פיגורים ריאלית לתחילת שנה</t>
  </si>
  <si>
    <t>חיוב / זיכוי נוסף</t>
  </si>
  <si>
    <t>העברה לחובות מסופקים וחובות למחיקה</t>
  </si>
  <si>
    <t>הנחות, פטורים, זיכויים ומחיקת חובות</t>
  </si>
  <si>
    <t>סה"כ יתרת פיגורים (פוטנציאל הגביה)</t>
  </si>
  <si>
    <t>גביה בגין פיגורים</t>
  </si>
  <si>
    <t>יתרת פיגורים בגין שנים קודמות</t>
  </si>
  <si>
    <t>גביה שוטפת</t>
  </si>
  <si>
    <t>חיוב תקופתי שוטף מצטבר</t>
  </si>
  <si>
    <t>סה"כ חיוב תקופתי (פוטנציאל הגביה)</t>
  </si>
  <si>
    <t>גביה בתקופת הדוח</t>
  </si>
  <si>
    <t>גביה מראש לשנה</t>
  </si>
  <si>
    <t>סה"כ שנגבה</t>
  </si>
  <si>
    <t>יתרת פיגורים לתקופה</t>
  </si>
  <si>
    <t>יתרת חובות שטרם נגבו לסוף התקופה</t>
  </si>
  <si>
    <t>% גביה מהפיגורים</t>
  </si>
  <si>
    <t>% גביה מהשוטף</t>
  </si>
  <si>
    <t>% גביה מהסה"כ</t>
  </si>
  <si>
    <t>אלפי קוב</t>
  </si>
  <si>
    <t>כמות המים שנרכשה / הופקה</t>
  </si>
  <si>
    <t>כמות המים שנמכרה / חויבה</t>
  </si>
  <si>
    <t>פחת (באלפי קוב)</t>
  </si>
  <si>
    <t>% הפחת</t>
  </si>
  <si>
    <t>נתוני פחת מים</t>
  </si>
  <si>
    <t>נתוני גביה מים וארנונה</t>
  </si>
  <si>
    <t>יש להסביר את היחס החריג בין תקבולים לתשלומים</t>
  </si>
  <si>
    <t>תקבולי מים בטופס 2 צריכים להתאים לגבית מים</t>
  </si>
  <si>
    <t>מענק כללי בטופס 2 צריך להתאים לנספח 1 לטופס 2</t>
  </si>
  <si>
    <t>תקבולי ביוב בטופס 2 צריכים להתאים לגבית ביוב</t>
  </si>
  <si>
    <t>יתרת פתיחה שנה נוכחית צריכה להתאים ליתרת סגירה שנה קודמת</t>
  </si>
  <si>
    <t>יתרות זמניות לסוף השנה צריכות להתאים לעודפי מימון זמניים</t>
  </si>
  <si>
    <t>יתרות זמניות נטו בטופס 3 צריך להתאים לפרוט בנספח 1 לטופס 3</t>
  </si>
  <si>
    <t>סה"כ תקבולים בטופס 3 צריך להתאים לפרוט בנספח 1 לטופס 3</t>
  </si>
  <si>
    <t>סה"כ תשלומים בטופס 3 צריך להתאים לפרוט בנספח 1 לטופס 3</t>
  </si>
  <si>
    <t>יתרת פתיחה בטופס 3 צריכה להתאים ליתרת סגירה בנספח 1 לטופס 3 שנה קודמת</t>
  </si>
  <si>
    <t>סגירת תב"רים בגרעון סופי בטופס 3 צריך להתאים להפרש  הגרעונות בשתי השנים במאזן</t>
  </si>
  <si>
    <t>העברות מתב"רים צריכות להתאים בטופס 3 וביאור 5</t>
  </si>
  <si>
    <t>יתרת פתיחה צריכה להתאים ליתרת סגירה שנה קודמת</t>
  </si>
  <si>
    <t>יתרת פתיחה קודמת צריכה להתאים ליתרת סגירה שנתיים קודמות</t>
  </si>
  <si>
    <t>יתרת פתיחה מלוות צריכה להתאים ליתרת סגירה שנה קודמת</t>
  </si>
  <si>
    <t>סה"כ תחזית פרעון מלוות צריך להתאים לסה"כ מלוות</t>
  </si>
  <si>
    <t>סה"כ תקציב צריך להתאים בטופס 2 ובנספח 1 לטופס 2</t>
  </si>
  <si>
    <t>אין התאמה בסה"כ תקבולים ביצוע בטופס 2 ובנספח 1 לטופס 2</t>
  </si>
  <si>
    <t>אין התאמה בסה"כ הכנסות עצמיות לפירוט בנתונים לנספח 1 לטופס 2</t>
  </si>
  <si>
    <t>בפועל למשרה *</t>
  </si>
  <si>
    <t>הסבר (*)</t>
  </si>
  <si>
    <t>אין התאמה בין יתרת פתיחה שנה נוכחית ליתרת סגירה שנה קודמת. נא לתקן את מספרי ההשוואה של השנה הקודמת כך שיתרת הסגירה תתאים ליתרת הפתיחה</t>
  </si>
  <si>
    <t>בנקים מסחריים</t>
  </si>
  <si>
    <t>סך כל הנכסים הנזילים קופה ובנקים (1)</t>
  </si>
  <si>
    <t>אין התאמה בסה"כ תשלומים ביצוע בטופס 2 ובנספח 1 לטופס 2</t>
  </si>
  <si>
    <t>נספח 3 לטופס 2</t>
  </si>
  <si>
    <t>סה"כ הכנסות - תקציב</t>
  </si>
  <si>
    <t>סה"כ הכנסות - ביצוע</t>
  </si>
  <si>
    <t>ספר לבן</t>
  </si>
  <si>
    <t>אין התאמה בסה"כ הכנסות תקציב בין הספר הלבן ונספח 3 לטופס 2</t>
  </si>
  <si>
    <t>יתרת פיגורים ריאלית לתחילת השנה -מים</t>
  </si>
  <si>
    <t>יתרה לתחילת השנה - סה"כ מים</t>
  </si>
  <si>
    <t>תיקון יתרת פתיחה (פיגורים) ארנונה</t>
  </si>
  <si>
    <t>חיוב / זיכוי נוסף (פיגורים) ארנונה</t>
  </si>
  <si>
    <t>חיובים במהלך התקופה בגין ריבית והצמדה (פיגורים) ארנונה</t>
  </si>
  <si>
    <t>חיוב תקופתי שוטף מצטבר ארנונה</t>
  </si>
  <si>
    <t>חיוב זיכוי נוסף (שוטף) ארנונה</t>
  </si>
  <si>
    <t>חיובים במהלך התקופה בגין ריבית והצמדה (שוטף) ארנונה</t>
  </si>
  <si>
    <t>סה"כ חיוב בשנת החשבון - מים</t>
  </si>
  <si>
    <t>תיקון יתרת פתיחה (פיגורים) מים</t>
  </si>
  <si>
    <t>חיוב / זיכוי נוסף (פיגורים) מים</t>
  </si>
  <si>
    <t>חיובים במהלך התקופה בגין ריבית והצמדה (פיגורים) מים</t>
  </si>
  <si>
    <t>חיוב תקופתי שוטף מצטבר מים</t>
  </si>
  <si>
    <t>חיוב זיכוי נוסף (שוטף) מים</t>
  </si>
  <si>
    <t>חיובים במהלך התקופה בגין ריבית והצמדה (שוטף) מים</t>
  </si>
  <si>
    <t>אין התאמה בין סה"כ חיובי מים (שוטף +פיגורים) בפירוט ד לבין סה"כ חיובי מים בנספח 2 לטופס 1</t>
  </si>
  <si>
    <t>אין התאמה בין סה"כ חיובי ארנונה (שוטף +פיגורים) בנספח 2 לטופס 1 פירוט ד לבין סה"כ חיובי ארנונה בנספח 2 לטופס 1</t>
  </si>
  <si>
    <t>העברה לחובות מסופקים וחובות למחיקה (פיגורים) ארנונה</t>
  </si>
  <si>
    <t>העברה לחובות מסופקים וחובות למחיקה (שוטף) ארנונה</t>
  </si>
  <si>
    <t>העברה ל/מ חובות מספוקים מים</t>
  </si>
  <si>
    <t>העברה לחובות מסופקים וחובות למחיקה (פיגורים) מים</t>
  </si>
  <si>
    <t>העברה לחובות מסופקים וחובות למחיקה (שוטף) מים</t>
  </si>
  <si>
    <t>אין התאמה בין סה"כ העברה לחובות מסופקים (שוטף+פיגורים) ארנונה בפירוט ד לבין סה"כ העברות ל/מ חובות מסופקים בנספח 2 לטופס 1</t>
  </si>
  <si>
    <t>אין התאמה בין סה"כ העברה לחובות מסופקים (שוטף+פיגורים) מים בפירוט ד לבין סה"כ העברות ל/מ חובות מסופקים בנספח 2 לטופס 1</t>
  </si>
  <si>
    <t>העברה לחובות מסופקים בסעיף סה"כ ארנונה אינה מאוזנת</t>
  </si>
  <si>
    <t>סה"כ העברה ל/מ חובות מסופקים ארנונה</t>
  </si>
  <si>
    <t>סה"כ העברה ל/מ חובות מסופקים מים</t>
  </si>
  <si>
    <t>העברה לחובות מסופקים בסעיף סה"כ מים אינה מאוזנת</t>
  </si>
  <si>
    <t>סה"כ העברה ל/מ חובות מסופקים בסעיף סה"כ חיובים על בסיס חיוב שנתי</t>
  </si>
  <si>
    <t>העברה לחובות מסופקים בסעיף סה"כ חשבונות על בסיס חיוב שנתי אינה מאוזנת</t>
  </si>
  <si>
    <t>סה"כ העברה ל/מ חובות מסופקים בסעיף סה"כ חיובים על בסיס חיוב חד פעמי</t>
  </si>
  <si>
    <t>העברה לחובות מסופקים בסעיף סה"כ חשבונות על בסיס חיוב חד פעמי אינה מאוזנת</t>
  </si>
  <si>
    <t>הנחות, פטורים, זיכויים ומחיקת חובות (פיגורים) ארנונה</t>
  </si>
  <si>
    <t>הנחות, פטורים, זיכויים ומחיקת חובות (שוטף) ארנונה</t>
  </si>
  <si>
    <t>אין התאמה בין סה"כ הנחות ארנונה בנספח 2 לטופס 1 לבין סה"כ הנחות ארנונה (שוטף+פיגורים) בפירוט ד</t>
  </si>
  <si>
    <t>סה"כ פטורים שחרורים והנחות מים</t>
  </si>
  <si>
    <t>הנחות, פטורים, זיכויים ומחיקת חובות (פיגורים) מים</t>
  </si>
  <si>
    <t>הנחות, פטורים, זיכויים ומחיקת חובות (שוטף) מים</t>
  </si>
  <si>
    <t>אין התאמה בין סה"כ הנחות מים בנספח 2 לטופס 1 לבין סה"כ הנחות מים (שוטף+פיגורים) בפירוט ד</t>
  </si>
  <si>
    <t>סה"כ גביות בשנת הדוח ארנונה</t>
  </si>
  <si>
    <t>גביה בשנת הדוח - סה"כ שנגבה ארנונה</t>
  </si>
  <si>
    <t>גביה בגין פיגורים ארנונה</t>
  </si>
  <si>
    <t>שעור עלית (ירידת) המדד במהלך השנה באחוזים</t>
  </si>
  <si>
    <t>אין התאמה בין סה"כ גבית ארנונה בנספח 2 לטופס 1 לבין סה"כ גביות ארנונה (שוטף+פיגורים) בפירוט ד</t>
  </si>
  <si>
    <t>סה"כ גביות בשנת הדוח מים</t>
  </si>
  <si>
    <t>גביה בגין פיגורים מים</t>
  </si>
  <si>
    <t>גביה בשנת הדוח - סה"כ שנגבה מים</t>
  </si>
  <si>
    <t>הנחות בארנונה (*)</t>
  </si>
  <si>
    <t>יתרה לסוף  השנה</t>
  </si>
  <si>
    <t>אין התאמה בין חיוב ראשוני ארנונה לבין סה"כ חיוב ארנונה מנספח א לדוח הביקורת המפורט (יש לתת הסבר בשדה הערה)</t>
  </si>
  <si>
    <t>לפי הנה"ח</t>
  </si>
  <si>
    <t>מענקים כלליים (19) תקציב</t>
  </si>
  <si>
    <t>אין התאמה בין סעיף מענקים כלליים בטופס 2 לבין סכום מענק כללי ומענקים מיוחדים בנספח 1 לטופס 2</t>
  </si>
  <si>
    <t>מענקים כלליים (19) ביצוע</t>
  </si>
  <si>
    <t>15 השתתפות מוסדות</t>
  </si>
  <si>
    <t>19 מענקים כלליים ומיוחדים</t>
  </si>
  <si>
    <t>אין התאמה בין סה"כ גבית מים בנספח 2 לטופס 1 לבין סה"כ גביות מים (שוטף+פיגורים) בפירוט ד</t>
  </si>
  <si>
    <t>סה"כ הכנסות תקציב</t>
  </si>
  <si>
    <t>סה"כ תקבולים תקציב</t>
  </si>
  <si>
    <t>אין התאמה בין סה"כ הכנסות תקציב בנספח 3 לטופס 2 וסה"כ תקבולים תקציב בטופס 2</t>
  </si>
  <si>
    <t>סה"כ הכנסות ביצוע</t>
  </si>
  <si>
    <t>סה"כ תקבולים ביצוע</t>
  </si>
  <si>
    <t>אין התאמה בין סה"כ הכנסות ביצוע בנספח 3 לטופס 2 וסה"כ תקבולים ביצוע בטופס 2</t>
  </si>
  <si>
    <t>דוח המבקרים*</t>
  </si>
  <si>
    <t>אין התאמה בסה"כ הכנסות ביצוע בין הספר הלבן ונספח 3 לטופס 2</t>
  </si>
  <si>
    <t>אין התאמה בסה"כ הכנסות ביצוע שנה קודמת בין הספר הלבן ונספח 3 לטופס 2</t>
  </si>
  <si>
    <t>סה"כ הוצאות - תקציב</t>
  </si>
  <si>
    <t>סה"כ הוצאות - ביצוע</t>
  </si>
  <si>
    <t>אין התאמה בסה"כ הוצאות תקציב בין הספר הלבן ונספח 3 לטופס 2</t>
  </si>
  <si>
    <t>אין התאמה בסה"כ הוצאות ביצוע בין הספר הלבן ונספח 3 לטופס 2</t>
  </si>
  <si>
    <t>אין התאמה בסה"כ הוצאות ביצוע שנה קודמת בין הספר הלבן ונספח 3 לטופס 2</t>
  </si>
  <si>
    <t>אין התאמה בסה"כ הכנסות תקציב בין הדוח לתושב ונספח 3 לטופס 2</t>
  </si>
  <si>
    <t>אין התאמה בסה"כ הכנסות ביצוע בין הדוח לתושב ונספח 3 לטופס 2</t>
  </si>
  <si>
    <t>אין התאמה בסה"כ הכנסות ביצוע שנה קודמת בין הדוח לתושב ונספח 3 לטופס 2</t>
  </si>
  <si>
    <t>אין התאמה בסה"כ הוצאות תקציב בין הדוח לתושב ונספח 3 לטופס 2</t>
  </si>
  <si>
    <t>אין התאמה בסה"כ הוצאות ביצוע בין הדוח לתושב ונספח 3 לטופס 2</t>
  </si>
  <si>
    <t>אין התאמה בסה"כ הוצאות ביצוע שנה קודמת בין הדוח לתושב ונספח 3 לטופס 2</t>
  </si>
  <si>
    <t>יישום תב"רים</t>
  </si>
  <si>
    <t>גידול (קיטון) שטחים באלפי מ"ר</t>
  </si>
  <si>
    <t>אין התאמה בין מס' התב"רים הסגורים מטופס 3 (הנתון מגיע משורת סיכום בנספח 1 לטופס 3) ובין יישום התב"רים</t>
  </si>
  <si>
    <t>הנהלה וכלליות</t>
  </si>
  <si>
    <t>סה"כ הנהלה וכלליות</t>
  </si>
  <si>
    <t>שירותים מקומיים</t>
  </si>
  <si>
    <t>שרותים עירוניים שונים</t>
  </si>
  <si>
    <t>סה"כ שרותים מקומיים</t>
  </si>
  <si>
    <t>איכות סביבה</t>
  </si>
  <si>
    <t>סה"כ שרותים ממלכתיים</t>
  </si>
  <si>
    <t>בתי מטבחיים</t>
  </si>
  <si>
    <t>מפעלי ביוב</t>
  </si>
  <si>
    <t>סה"כ מפעלים</t>
  </si>
  <si>
    <t>גימלאים</t>
  </si>
  <si>
    <t>מספר משרות</t>
  </si>
  <si>
    <t>עלויות שכר</t>
  </si>
  <si>
    <t>מס' משרות 66</t>
  </si>
  <si>
    <t>עלויות שכר 66</t>
  </si>
  <si>
    <t>מנהל החינוך</t>
  </si>
  <si>
    <t>רכישת שרותי כוח אדם</t>
  </si>
  <si>
    <t>הפרש עלויות</t>
  </si>
  <si>
    <t>עלות כוללת</t>
  </si>
  <si>
    <t>מס' מועסקים</t>
  </si>
  <si>
    <t>מס' שעות העסקה</t>
  </si>
  <si>
    <t>אין התאמה בין מס' התב"רים הסגורים בשנה הקודמת מטופס 3 ובין יישום התב"רים</t>
  </si>
  <si>
    <t>נתונים לטופס 3</t>
  </si>
  <si>
    <t>סה"כ העברות לת"ברים מקרנות</t>
  </si>
  <si>
    <t>אין התאמה בין סה"כ העברות לתב"רים בביאור 5 לבין סעיף העברה מקרנות הרשות בנתונים לטופס 3</t>
  </si>
  <si>
    <t>אין התאמה בין העברות לתב"רים בשנה קודמת בביאור 5 לבין סעיף העברה מקרנות הרשות בנתונים לטופס 3 בשנה קודמת</t>
  </si>
  <si>
    <t>סה"כ שכר חינוך - ביצוע שנה נוכחית</t>
  </si>
  <si>
    <t>סה"כ שכר רווחה - ביצוע שנה נוכחית</t>
  </si>
  <si>
    <t>סה"כ שכר יתר המשרות - ביצוע שנה נוכחית</t>
  </si>
  <si>
    <t>שכר נבחרים - ביצוע שנה נוכחית</t>
  </si>
  <si>
    <t>סה"כ שכר חינוך - ביצוע שנה קודמת</t>
  </si>
  <si>
    <t>סה"כ שכר רווחה - ביצוע שנה קודמת</t>
  </si>
  <si>
    <t>סה"כ שכר יתר המשרות - ביצוע שנה קודמת</t>
  </si>
  <si>
    <t>שכר נבחרים - ביצוע שנה קודמת</t>
  </si>
  <si>
    <t>גידול חריג בשכר חינוך בין השנה הנוכחית לשנה הקודמת</t>
  </si>
  <si>
    <t>גידול חריג בשכר רווחה בין השנה הנוכחית לשנה הקודמת</t>
  </si>
  <si>
    <t>גידול חריג בשכר יתר המשרות בין השנה הנוכחית לשנה הקודמת</t>
  </si>
  <si>
    <t>גידול חריג בשכר נבחרים בין השנה הנוכחית לשנה הקודמת</t>
  </si>
  <si>
    <t>כאשר תעריף משוקלל קטן מתעריף מינימום</t>
  </si>
  <si>
    <t>הכותרת תיצבע באדום</t>
  </si>
  <si>
    <t>נספח 6 לטופס 2</t>
  </si>
  <si>
    <t>מס' הסעיפים בהם תעריף משוקלל שנה נוכחית קטן מתעריף מינימום</t>
  </si>
  <si>
    <t>סה"כ סכום פרעון המלוות בתקציב הרגיל</t>
  </si>
  <si>
    <t>סה"כ התאמה לטופס 2</t>
  </si>
  <si>
    <t>אין התאמה בין סה"כ פרעון מלוות בשנה הקודמת לסה"כ התאמה לטופס 2 בנספח 3 לטופס 1</t>
  </si>
  <si>
    <t>אין התאמה בין סה"כ פרעון מלוות בשנה הנוכחית לסה"כ התאמה לטופס 2 בנספח 3 לטופס 1</t>
  </si>
  <si>
    <t>אין התאמה בין יתרת פתיחה ליתרת סגירה מים. יש להתאים את מספרי ההשוואה בשנה הקודמת כך שתהיה התאמה</t>
  </si>
  <si>
    <t>אין התאמה בין יתרת פתיחה ליתרת סגירה ארנונה. יש להתאים את מספרי ההשוואה בשנה הקודמת כך שתהיה התאמה</t>
  </si>
  <si>
    <t>משכורות ושכר כללי - תקציב</t>
  </si>
  <si>
    <t>שכר חינוך - ביצוע</t>
  </si>
  <si>
    <t>שכר רווחה - ביצוע</t>
  </si>
  <si>
    <t>נספח 1 לטופס 2 חלק ג</t>
  </si>
  <si>
    <t>משכורות ושכר - תקציב</t>
  </si>
  <si>
    <t>שכר חינוך - תקציב</t>
  </si>
  <si>
    <t>שכר רווחה - תקציב</t>
  </si>
  <si>
    <t>משכורות ושכר כללי - ביצוע</t>
  </si>
  <si>
    <t>משכורות ושכר - ביצוע</t>
  </si>
  <si>
    <t>אין התאמה בין סה"כ הוצאות שכר בנספח 3 לטופס 2 ובין נספח 1 לטופס 2 חלק ג (נתוני הנה"ח)</t>
  </si>
  <si>
    <t>סה"כ שכר - תקציב</t>
  </si>
  <si>
    <t>סה"כ שכר - ביצוע</t>
  </si>
  <si>
    <t>נתונים לנספח 4 לטופס 2</t>
  </si>
  <si>
    <t>אין התאמה בין סה"כ הוצאות שכר בנספח 3 לטופס 2 ובין נתונים לנספח 4 לטופס 2 (נתוני דוח 66)</t>
  </si>
  <si>
    <t>פרעון מלוות - ביצוע</t>
  </si>
  <si>
    <t>אין התאמה בין פרעון מלוות בנספח 3 לטופס 1 ובין פירוט סעיפים של פרעון מלוות בנתונים לנספח 1 לטופס 2</t>
  </si>
  <si>
    <t>פירוט הוצאות מים</t>
  </si>
  <si>
    <t>ל-מינוס מ-פלוס</t>
  </si>
  <si>
    <t>דוח תמיכות</t>
  </si>
  <si>
    <t>השתתפויות ותמיכות בנספח 1 לטופס 2 (פירוט סעיפים מנתונים לנספח 1 לטופס 2) צריך להתאים לסה"כ בדוח תמיכות</t>
  </si>
  <si>
    <t>טפסים 3,4</t>
  </si>
  <si>
    <t>עודף הוצאות הכנוסת / הכנסות הוצאות אינו תואם את סה"כ הרכב הגרעון / עודף הכללי</t>
  </si>
  <si>
    <t>נספח 2 לטופס 1 פירוט ב</t>
  </si>
  <si>
    <t>אין התאמה בין סה"כ הנחות במיסים בנספח 2 לטופס 1 פירוט ב ובין ביאור 4</t>
  </si>
  <si>
    <t>שכר פנסיונרים - תקציב</t>
  </si>
  <si>
    <t>שכר פנסיונרים - ביצוע, דוח 66</t>
  </si>
  <si>
    <t>שכר פנסיונרים - ביצוע, הנה"ח</t>
  </si>
  <si>
    <t>קרנות פיתוח ואחרות</t>
  </si>
  <si>
    <t>חיוב (ביטול) נוסף</t>
  </si>
  <si>
    <t>העברת מענקים שנתקבלו להקטנת גרעונות</t>
  </si>
  <si>
    <t>העברת מענקים להקטנת גרעון מצטבר</t>
  </si>
  <si>
    <t>(*) כולל הנחות ועדה, הנחות על פי דין, הנחות מימון ופטורים.</t>
  </si>
  <si>
    <t>חברות כרטיסי אשראי</t>
  </si>
  <si>
    <t>תשלומים בגין סיום יחסי עובד מעביד</t>
  </si>
  <si>
    <t>אין התאמה בין תשלומי פנסיה תקציב בנתונים לנספח 4 לטופס 2 ובין תשלומי פנסיה בביאור 4</t>
  </si>
  <si>
    <t>אין התאמה בין תשלומי פנסיה ביצוע לפי הנה"ח בנתונים לנספח 4 לטופס 2 ובין תשלומי פנסיה בביאור 4</t>
  </si>
  <si>
    <t>אין התאמה בין תשלומי פנסיה ביצוע לפי דוח 66 בנתונים לנספח 4 לטופס 2 ובין תשלומי פנסיה בביאור 4</t>
  </si>
  <si>
    <t>סה"כ יתרה לתחילת שנה</t>
  </si>
  <si>
    <t>אין התאמה בין השינוי בקרן לעבודות פיתוח בהתאמות לטופס 4 לבין  תנועת הקרנות בביאור 5</t>
  </si>
  <si>
    <t>סכומים שנתקבלו להקטנת גרעונות - תקבולים תקציב</t>
  </si>
  <si>
    <t>סכומים שנתקבלו להקטנת גרעונות - תקבולים ביצוע</t>
  </si>
  <si>
    <t>סכומים שנתקבלו להקטנת גרעונות - תשלומים תקציב</t>
  </si>
  <si>
    <t>סכומים שנתקבלו להקטנת גרעונות - תשלומים ביצוע</t>
  </si>
  <si>
    <t>אין התאמה בין הכנסות להוצאות בסכומים שנתקבלו להקטנת גרעונות בביאור 4</t>
  </si>
  <si>
    <t>העברת מלוות בטופס 3 צריכה להיות נמוכה או שווה למלוות שנתקבלו בטופס 3</t>
  </si>
  <si>
    <t>נספח א - טבלת שטחים וגבייה</t>
  </si>
  <si>
    <t>נספח 2 לטופס 1 פירוט א</t>
  </si>
  <si>
    <t>סה"כ חיוב ארנונה ראשוני</t>
  </si>
  <si>
    <t>אין התאמה בין תקבולי הטל השבחה בביאור 5 ונספח 2 לטופס 1</t>
  </si>
  <si>
    <t>סה"כ חיוב ארנונה - יתרה לסוף השנה</t>
  </si>
  <si>
    <t>נספח ב לדוח הביקורת המפורט</t>
  </si>
  <si>
    <r>
      <t xml:space="preserve">סכום החוב הכולל </t>
    </r>
    <r>
      <rPr>
        <b/>
        <sz val="10"/>
        <color indexed="18"/>
        <rFont val="Arial"/>
        <family val="2"/>
      </rPr>
      <t>יש להקליד סכום</t>
    </r>
  </si>
  <si>
    <t>אין התאמה בין סה"כ חיוב ארנונה לבין סכום החוב הכולל מנספח ב לדוח הביקורת המפורט</t>
  </si>
  <si>
    <t>דוח תמיכות והשתתפויות</t>
  </si>
  <si>
    <t>חיוב בשנת החשבון - ארנונה למגורים</t>
  </si>
  <si>
    <t>יש לבצע התאמה בין הוצאות שכר נספח 1 לטופס 2 לנספח 4 לטופס 2</t>
  </si>
  <si>
    <t>אין התאמה בהנחות במיסים בביאור 4 ונתונים לנספח 2 לטופס 1</t>
  </si>
  <si>
    <t>(אלפי ש"ח)</t>
  </si>
  <si>
    <t>הצג תוכן ענינים</t>
  </si>
  <si>
    <t>נכסים</t>
  </si>
  <si>
    <t>ביאור</t>
  </si>
  <si>
    <t>רכוש שוטף</t>
  </si>
  <si>
    <t>נכסים נזילים - קופה ובנקים</t>
  </si>
  <si>
    <t>3 (א)</t>
  </si>
  <si>
    <t>הכנסות מתוקצבות שטרם נגבו</t>
  </si>
  <si>
    <t>3 (ב)</t>
  </si>
  <si>
    <t>חייבים - תשלומים לא מתוקצבים</t>
  </si>
  <si>
    <r>
      <t xml:space="preserve">מאזן - </t>
    </r>
    <r>
      <rPr>
        <u/>
        <sz val="10"/>
        <color indexed="62"/>
        <rFont val="Arial"/>
        <family val="2"/>
      </rPr>
      <t>טופס 1 אקטיב</t>
    </r>
    <r>
      <rPr>
        <u/>
        <sz val="10"/>
        <rFont val="Arial"/>
        <family val="2"/>
      </rPr>
      <t>*</t>
    </r>
  </si>
  <si>
    <t>3 (ג)</t>
  </si>
  <si>
    <t>(***)</t>
  </si>
  <si>
    <t>השקעות מיועדות לכיסוי קרנות לעבודות פיתוח ולעודפים זמניים בתקציבים בלתי רגילים</t>
  </si>
  <si>
    <t>השקעות במימון קרנות מתוקצבות ואחרות</t>
  </si>
  <si>
    <t>3 (ד)</t>
  </si>
  <si>
    <t>גרעונות בתקציב הרגיל</t>
  </si>
  <si>
    <t xml:space="preserve">גרעון סופי בתב"רים </t>
  </si>
  <si>
    <t>גרעון מצטבר בתקציב הרגיל לסוף השנה</t>
  </si>
  <si>
    <t>גרעונות במשק סגור</t>
  </si>
  <si>
    <t>גרעונות סופיים בתב"רים שהסתיימו</t>
  </si>
  <si>
    <t>גרעונות זמניים בתב"רים, נטו</t>
  </si>
  <si>
    <t xml:space="preserve"> </t>
  </si>
  <si>
    <t>בקרת אי איזון</t>
  </si>
  <si>
    <t>נתונים נוספים</t>
  </si>
  <si>
    <t>עומס המלוות</t>
  </si>
  <si>
    <t>חייבים בגין ארנונה ומיסים אחרים</t>
  </si>
  <si>
    <t>חובות פתוחים</t>
  </si>
  <si>
    <t>מכוסים בהמחאות לגביה</t>
  </si>
  <si>
    <t>התחייבויות</t>
  </si>
  <si>
    <t>התחייבויות שוטפות</t>
  </si>
  <si>
    <t>משיכות יתר בבנקים</t>
  </si>
  <si>
    <t>3 (ה)</t>
  </si>
  <si>
    <t>מנהלת אגף בכיר לביקורת ברשויות מקומיות והממונה על החשבונות</t>
  </si>
  <si>
    <t>הוצאות מתוקצבות שטרם שולמו</t>
  </si>
  <si>
    <t>3 (ו)</t>
  </si>
  <si>
    <t>תקבולים לא מתוקצבים - פקדונות והכנסות מראש</t>
  </si>
  <si>
    <t>3 (ז)</t>
  </si>
  <si>
    <t>סה"כ התחייבויות שוטפות</t>
  </si>
  <si>
    <t>קרנות פיתוח ועודפים זמניים בתב"רים, נטו</t>
  </si>
  <si>
    <t xml:space="preserve">קרן לעבודות פיתוח </t>
  </si>
  <si>
    <t>עודפים זמניים בתב"רים נטו</t>
  </si>
  <si>
    <t>טופס 3</t>
  </si>
  <si>
    <t>קרנות בלתי מתוקצבות אחרות</t>
  </si>
  <si>
    <t>קרנות מתוקצבות</t>
  </si>
  <si>
    <t>3 (ח)</t>
  </si>
  <si>
    <t>עודפים בתקציב רגיל</t>
  </si>
  <si>
    <t>סכומים שנתקבלו להקטנת גרעונות</t>
  </si>
  <si>
    <t>גרעון סופי בתב"רים</t>
  </si>
  <si>
    <t>עודף מצטבר בתקציב הרגיל לסוף השנה</t>
  </si>
  <si>
    <t>ראש הרשות:</t>
  </si>
  <si>
    <t>גזבר הרשות:</t>
  </si>
  <si>
    <t>תאריך אישור הדוחות:</t>
  </si>
  <si>
    <t>ריכוז תקבולים ותשלומים של התקציב הרגיל לפי פרקי תקציב</t>
  </si>
  <si>
    <t>תקבולים</t>
  </si>
  <si>
    <t>תשלומים</t>
  </si>
  <si>
    <t>מספר ושם הפרק</t>
  </si>
  <si>
    <t>תקציב</t>
  </si>
  <si>
    <t>ביצוע</t>
  </si>
  <si>
    <t>1.</t>
  </si>
  <si>
    <t>מיסים ומענקים</t>
  </si>
  <si>
    <t xml:space="preserve">הנהלה וכלליות  </t>
  </si>
  <si>
    <t>11 מיסים</t>
  </si>
  <si>
    <t>יתר משרות בכירים (כולל תרבות) עם תקן</t>
  </si>
  <si>
    <t>יתר משרות בכירים (כולל תרבות) ללא תקן</t>
  </si>
  <si>
    <t>סה"כ יתר משרות בכירים (כולל תרבות)</t>
  </si>
  <si>
    <t>יתר משרות אחרים (כולל תרבות) עם תקן</t>
  </si>
  <si>
    <t>יתר משרות אחרים (כולל תרבות) ללא תקן</t>
  </si>
  <si>
    <t>סה"כ יתר משרות אחרים (כולל תרבות)</t>
  </si>
  <si>
    <t>סה"כ יתר משרות</t>
  </si>
  <si>
    <t>יתר המשרות בכירים עם תקן</t>
  </si>
  <si>
    <t>יתר המשרות בכירים ללא תקן</t>
  </si>
  <si>
    <t>סה"כ יתר המשרות בכירים</t>
  </si>
  <si>
    <t>יתר המשרות אחרים עם תקן</t>
  </si>
  <si>
    <t>יתר המשרות אחרים ללא תקן</t>
  </si>
  <si>
    <t>סה"כ יתר המשרות אחרים</t>
  </si>
  <si>
    <t>מצבת כוח אדם שנה קודמת - משמש לחישוב שכר ממוצע למשרה שנה קודמת</t>
  </si>
  <si>
    <t>מוניציפלי ואחרות בכירים</t>
  </si>
  <si>
    <t>מוניציפלי ואחרות אחרים</t>
  </si>
  <si>
    <t>61 מנהל כללי</t>
  </si>
  <si>
    <t>12 אגרות</t>
  </si>
  <si>
    <t>62 מנהל כספי</t>
  </si>
  <si>
    <t>13 היטלים</t>
  </si>
  <si>
    <t>63 הוצאות מימון</t>
  </si>
  <si>
    <t>14 מכסות</t>
  </si>
  <si>
    <t>16 הכנסות מימון</t>
  </si>
  <si>
    <t>19 מענקים כלליים</t>
  </si>
  <si>
    <t>2.</t>
  </si>
  <si>
    <t>שרותים מקומיים</t>
  </si>
  <si>
    <t>21 תברואה</t>
  </si>
  <si>
    <t>71 תברואה</t>
  </si>
  <si>
    <t>22 שמירה וביטחון</t>
  </si>
  <si>
    <t>72 שמירה וביטחון</t>
  </si>
  <si>
    <t>23 תכנון ובנין העיר</t>
  </si>
  <si>
    <t>73 תכנון ובנין העיר</t>
  </si>
  <si>
    <t>24 נכסים ציבוריים</t>
  </si>
  <si>
    <t>74 נכסים ציבוריים</t>
  </si>
  <si>
    <t>25 חגיגות, מבצעים וארועים</t>
  </si>
  <si>
    <t>75 חגיגות, מבצעים ואירועים</t>
  </si>
  <si>
    <t>26 שרותים עירוניים שונים</t>
  </si>
  <si>
    <t>76 שרותים עירוניים שונים</t>
  </si>
  <si>
    <t>27 פיתוח כלכלי</t>
  </si>
  <si>
    <t>77 פיתוח כלכלי</t>
  </si>
  <si>
    <t>28 פיקוח עירוני</t>
  </si>
  <si>
    <t>78 פיקוח עירוני</t>
  </si>
  <si>
    <t>29 שירותים חקלאיים</t>
  </si>
  <si>
    <t>79 שירותים חקלאיים</t>
  </si>
  <si>
    <t>3.</t>
  </si>
  <si>
    <t>שרותים ממלכתיים</t>
  </si>
  <si>
    <t>31 חינוך</t>
  </si>
  <si>
    <t>81 חינוך</t>
  </si>
  <si>
    <t>32 תרבות</t>
  </si>
  <si>
    <t>82 תרבות</t>
  </si>
  <si>
    <t>33 בריאות</t>
  </si>
  <si>
    <t>83 בריאות</t>
  </si>
  <si>
    <t>34 רווחה</t>
  </si>
  <si>
    <t>84 רווחה</t>
  </si>
  <si>
    <t xml:space="preserve">35 דת </t>
  </si>
  <si>
    <t>85 דת</t>
  </si>
  <si>
    <t>36 קליטת עלייה</t>
  </si>
  <si>
    <t>86  קליטת עלייה</t>
  </si>
  <si>
    <t>37 איכות הסביבה</t>
  </si>
  <si>
    <t>87 איכות הסביבה</t>
  </si>
  <si>
    <t>4.</t>
  </si>
  <si>
    <t>מפעלים</t>
  </si>
  <si>
    <t>41 מים</t>
  </si>
  <si>
    <t>91 מים</t>
  </si>
  <si>
    <t>42 בתי מטבחיים</t>
  </si>
  <si>
    <t>92 בתי מטבחיים</t>
  </si>
  <si>
    <t>43 נכסים</t>
  </si>
  <si>
    <t>93 נכסים</t>
  </si>
  <si>
    <t>44 תחבורה</t>
  </si>
  <si>
    <t>94 תחבורה</t>
  </si>
  <si>
    <t>45 מפעלי תעסוקה</t>
  </si>
  <si>
    <t>95 מפעלי תעסוקה</t>
  </si>
  <si>
    <t>46 חשמל</t>
  </si>
  <si>
    <t>96 חשמל</t>
  </si>
  <si>
    <t>47 מפעל הביוב</t>
  </si>
  <si>
    <t>48 מפעלים אחרים</t>
  </si>
  <si>
    <t>98 מפעלים אחרים</t>
  </si>
  <si>
    <t>5.</t>
  </si>
  <si>
    <t>תקבולים בלתי רגילים</t>
  </si>
  <si>
    <t>תשלומים בלתי רגילים</t>
  </si>
  <si>
    <t>סה"כ כללי</t>
  </si>
  <si>
    <t>סה"כ תקבולים</t>
  </si>
  <si>
    <t>סה"כ תשלומים</t>
  </si>
  <si>
    <t>ריכוז התקבולים והתשלומים של התקציב הבלתי רגיל (אלפי ש"ח)</t>
  </si>
  <si>
    <t xml:space="preserve">תקבולים ותשלומים בשנת הדוח </t>
  </si>
  <si>
    <t>א.</t>
  </si>
  <si>
    <t>השתתפות הממשלה</t>
  </si>
  <si>
    <t>השתתפות מוסדות</t>
  </si>
  <si>
    <t>השתתפות בעלים</t>
  </si>
  <si>
    <t>מקורות עצמיים ואחרים</t>
  </si>
  <si>
    <t>מלוות שנתקבלו</t>
  </si>
  <si>
    <t>סגירת תב"רים בגרעון סופי</t>
  </si>
  <si>
    <t>ב.</t>
  </si>
  <si>
    <t>עבודות שבוצעו במשך השנה</t>
  </si>
  <si>
    <t>תכנון</t>
  </si>
  <si>
    <t>העברת מלוות</t>
  </si>
  <si>
    <t>תשלומים אחרים</t>
  </si>
  <si>
    <t>העברת עודפים מתב"רים שהסתיימו לקרנות</t>
  </si>
  <si>
    <t>תקבולים ותשלומים שנצברו לתחילת השנה</t>
  </si>
  <si>
    <t>יתרות זמניות נטו לתחילת השנה</t>
  </si>
  <si>
    <t>תקבולים ותשלומים שנצברו לסוף השנה *</t>
  </si>
  <si>
    <t>יתרות זמניות נטו לסוף השנה</t>
  </si>
  <si>
    <t>היתרה הנ"ל מורכבת:</t>
  </si>
  <si>
    <t>עודפי מימון זמניים</t>
  </si>
  <si>
    <t>גרעונות מימון זמניים</t>
  </si>
  <si>
    <t>*</t>
  </si>
  <si>
    <t>לאחר ניכוי השקעות בפרוייקטים</t>
  </si>
  <si>
    <t>1. מצב חשבון החייבים נספח 2 לטופס 1 (כולל פירוטים א,ב,ג,ד)</t>
  </si>
  <si>
    <t>2. מצב חשבון המלוות לפרעון לסוף השנה - נספח 3 לטופס 1</t>
  </si>
  <si>
    <t xml:space="preserve">3. ניתוח ביצוע של התקציב הרגיל - תקבולים ותשלומים לפי מקורות הכנסה וסוגי הוצאה - </t>
  </si>
  <si>
    <t xml:space="preserve">4. ניתוח הביצוע של התקציב הרגיל - הוצאות לפי שירותים ויעדים, לעומת הכנסות מיועדות </t>
  </si>
  <si>
    <t>5. ניתוח הביצוע של התקציב הרגיל - ממוין לפי מסגרת משרד הפנים - נספח 3 לטופס 2</t>
  </si>
  <si>
    <t>6. ניתוח נתוני כוח אדם והוצאות שכר - נספח 4 לטופס 2 חלק א</t>
  </si>
  <si>
    <t>7. דוח שכר לפי פרקי התקציב - נספח 4 לטופס 2 חלק ב</t>
  </si>
  <si>
    <t>8. התפלגות מרכיבי השכר - נספח 5 לטופס 2</t>
  </si>
  <si>
    <t>9. ארנונה כללית - ניתוח תעריפים - נספח 6 לטופס 2</t>
  </si>
  <si>
    <t>13. ריכוז התקבולים והתשלומים של התקציב הבלתי רגיל לפי פרקי תקציב - נספח 1 לטופס 3</t>
  </si>
  <si>
    <t>טבלת שטחים וגביה - נספח א לדוח הביקורת המפורט</t>
  </si>
  <si>
    <t>אזורי תעשיה משותפים</t>
  </si>
  <si>
    <t>שנסגרו בשנת הדוח:</t>
  </si>
  <si>
    <t>פחות  - תשלומים ע"ח קרן בלבד בשנת הדוח</t>
  </si>
  <si>
    <t>ריכוז תקבולים ותשלומים בתקציב הרגיל, הבלתי רגיל ובקרן לעבודות פיתוח</t>
  </si>
  <si>
    <t>התאמה</t>
  </si>
  <si>
    <t>הכנסות</t>
  </si>
  <si>
    <t xml:space="preserve">מתקציב רגיל  </t>
  </si>
  <si>
    <t xml:space="preserve">מתקציב בלתי רגיל </t>
  </si>
  <si>
    <t>מקרן לעבודות פיתוח</t>
  </si>
  <si>
    <t>סך כל ההכנסות</t>
  </si>
  <si>
    <t>הוצאות</t>
  </si>
  <si>
    <t>תקציב רגיל</t>
  </si>
  <si>
    <t>תקציב בלתי רגיל</t>
  </si>
  <si>
    <t>סך כל ההוצאות</t>
  </si>
  <si>
    <t>הרכב הגרעון הכללי</t>
  </si>
  <si>
    <t>(גרעון) עודף כללי</t>
  </si>
  <si>
    <t>עודף הכנסות על הוצאות בשנת התקציב</t>
  </si>
  <si>
    <t>עודף הוצאות על הכנסות בשנת התקציב</t>
  </si>
  <si>
    <t>עודף הכנסות על הוצאות בשנת התקציב (אשתקד עודף הוצאות על הכנסות בשנת התקציב)</t>
  </si>
  <si>
    <t>עודף הוצאות על הכנסות בשנת התקציב (אשתקד עודף הכנסות על הוצאות בשנת התקציב)</t>
  </si>
  <si>
    <t>גידול בקרן לעבודות פיתוח</t>
  </si>
  <si>
    <t>קיטון בקרן לעבודות פיתוח</t>
  </si>
  <si>
    <t>גידול (קיטון) בקרן לעבודות פיתוח</t>
  </si>
  <si>
    <t>(קיטון) גידול בקרן לעבודות פיתוח</t>
  </si>
  <si>
    <t>עודף כללי</t>
  </si>
  <si>
    <t>גרעון כללי</t>
  </si>
  <si>
    <t>עודף (גרעון) כללי</t>
  </si>
  <si>
    <t>התאמה בין הדוחות הכספיים ליתרות הנ"ל</t>
  </si>
  <si>
    <t>הערה: יש להכניס את הנתונים עם סימן מוביל. במקרה של ניכויים יש להכניס את הנתונים במינוס</t>
  </si>
  <si>
    <t>מספר התאמה</t>
  </si>
  <si>
    <t>התאמה מס':</t>
  </si>
  <si>
    <t>סה"כ הכנסות בתקציב הרגיל:</t>
  </si>
  <si>
    <t>סה"כ נטו</t>
  </si>
  <si>
    <t>סה"כ הכנסות בתקציב הבלתי הרגיל:</t>
  </si>
  <si>
    <t>רואה החשבון</t>
  </si>
  <si>
    <t>תקבולים מקרן לעבודות פיתוח</t>
  </si>
  <si>
    <t>העברה מתב"רים</t>
  </si>
  <si>
    <t>העברה מתקציב רגיל</t>
  </si>
  <si>
    <t>סה"כ הוצאות בתקציב הרגיל:</t>
  </si>
  <si>
    <t>סה"כ הוצאות בתקציב הבלתי רגיל:</t>
  </si>
  <si>
    <t>באורים לדוחות הכספיים</t>
  </si>
  <si>
    <t>באור 1 - כללי</t>
  </si>
  <si>
    <t>הרשויות המקומיות חייבות בניהול מערכת הנהלת חשבונות לפי תקנות הרשויות המקומיות</t>
  </si>
  <si>
    <t>(הנהלת חשבונות) , התשמ"ח - 1988.</t>
  </si>
  <si>
    <t>רישום נתוני הנהלת החשבונות נערך ב"שיטת המזומנים המתוקנת" כמפורט בבאור 2 להלן.</t>
  </si>
  <si>
    <t>ג.</t>
  </si>
  <si>
    <t>הדוחות הכספיים נערכו על פי הנחיות הממונה על ביקורת החשבונות במשרד הפנים, כפי</t>
  </si>
  <si>
    <t>שנקבעו בהנחיות להנהלת חשבונות ודיווח כספי ברשויות מקומיות ,בתוקף היותו גוף אחראי</t>
  </si>
  <si>
    <t>שינויים ביתרה לתחילת שנה: מינוס = הגדלת גרעון, הפחתת עודף, פלוס = הקטנת גרעון, הפחתת עודף</t>
  </si>
  <si>
    <t>שינויים ביתרה לתחילת השנה (סכומים להקטנת גרעונות כולל מלוות)</t>
  </si>
  <si>
    <t>סכומים להקטנת גרעונות: אם יש רק סכומים להקטנת גרעונות בביאור 3 ט הכותרת תהיה "סכומים שנתקבלו להקטנת גרעונות". אם יש שינויים נוספים הכותרת תהיה "שינויים ביתרה לתחילת השנה"</t>
  </si>
  <si>
    <t>שינויים ביתרה לתחילת השנה</t>
  </si>
  <si>
    <t>&lt;-הכותרת כפי שתועתק למאזן</t>
  </si>
  <si>
    <t>סה"כ שינויים ביתרה לתחילת השנה</t>
  </si>
  <si>
    <t>3 (ט)</t>
  </si>
  <si>
    <t>ביאור 3 ט</t>
  </si>
  <si>
    <t>אין התאמה בין מענקים להקטנת גרעון  בצד ההוצאות וצד ההכנסות בביאור 4</t>
  </si>
  <si>
    <t>ומפקח בכל הנוגע לניהול חשבונותיה של רשות מקומית.</t>
  </si>
  <si>
    <t>הדוחות הכספיים נערכו בהתאם להנחיות הנ"ל השונות מכללי חשבונאות מקובלים בנושאים</t>
  </si>
  <si>
    <t>מהותיים.</t>
  </si>
  <si>
    <t>ד.</t>
  </si>
  <si>
    <t>להלן נתונים על השינויים במדד המחירים לצרכן ובשער החליפין של השקל ביחס לדולר:</t>
  </si>
  <si>
    <t>שער החליפין של הדולר האמריקאי בש"ח</t>
  </si>
  <si>
    <t>מדד המחירים לצרכן (ממוצע 1993) בנקודות</t>
  </si>
  <si>
    <t>שעור עלית (ירידת) הדולר במהלך השנה</t>
  </si>
  <si>
    <t>שעור עלית  המדד במהלך השנה</t>
  </si>
  <si>
    <t>ה.</t>
  </si>
  <si>
    <t xml:space="preserve">ו. </t>
  </si>
  <si>
    <t>שרותים המסופקים ע"י המועצה: [( מיועד למועצות אזוריות בלבד)]</t>
  </si>
  <si>
    <t xml:space="preserve">המועצה מספקת את השרותים המפורטים להלן: </t>
  </si>
  <si>
    <t xml:space="preserve">שרותי הוצאת אשפה; שרותי תאורת רחובות; ... יתר השרותים מסופקים לתוש/בים ישירות ע"י </t>
  </si>
  <si>
    <t>באור 2 - עיקרי המדיניות החשבונאית</t>
  </si>
  <si>
    <t>הדוחות ערוכים על בסיס נומינלי היסטורי וללא התאמה לשינויים בכח הקניה הכללי של המטבע הישראלי.</t>
  </si>
  <si>
    <t xml:space="preserve">עיקרי המדיניות החשבונאית אשר יושמו בעריכת הדוחות הכספיים באופן עקבי לשנה קודמת </t>
  </si>
  <si>
    <t>מפורטים להלן:</t>
  </si>
  <si>
    <t>סה"כ יתר המשרות</t>
  </si>
  <si>
    <t>רווחה ללא תקן</t>
  </si>
  <si>
    <t>תקבולים לתחילת שנה בתקציב הבלתי הרגיל</t>
  </si>
  <si>
    <t>תקבולים לסוף השנה בתקציב הבלתי רגיל</t>
  </si>
  <si>
    <t>יתרת פתיחה תקבולים בתקציב הבלתי רגיל אינה תואמת את יתרת הסגירה של שנה קודמת</t>
  </si>
  <si>
    <t>תשלומים לתחילת שנה בתקציב הבלתי הרגיל</t>
  </si>
  <si>
    <t>תשלומים לסוף השנה בתקציב הבלתי רגיל</t>
  </si>
  <si>
    <t>יתרת פתיחה תשלומים בתקציב הבלתי רגיל אינה תואמת את יתרת הסגירה של שנה קודמת</t>
  </si>
  <si>
    <t>יתרת חוב לתחילת שנה ארנונה</t>
  </si>
  <si>
    <t>יתת חוב לסוף השנה ארנונה</t>
  </si>
  <si>
    <t>יתרת חוב לתחילת השנה ארנונה אינה תואמת את יתרת הסגירה של שנה קודמת</t>
  </si>
  <si>
    <t>יתרת חוב לתחילת שנה מים</t>
  </si>
  <si>
    <t>יתת חוב לסוף השנה מים</t>
  </si>
  <si>
    <t>יתרת חוב לתחילת השנה מים אינה תואמת את יתרת הסגירה של שנה קודמת</t>
  </si>
  <si>
    <t>שכר פנסיה בנספח 4 לטופס 2 הכולל גם סוציאליות, צריך להיות גדול מתשלומי פנסיה בנספח 5 לטופס 2</t>
  </si>
  <si>
    <t>ספר לבן, דוח לתושב</t>
  </si>
  <si>
    <t>עודף (גרעון) זמני לתחילת השנה בתקציב הבלתי רגיל</t>
  </si>
  <si>
    <t>עודף (גרעון) זמני לסוף השנה בתקציב הבלתי רגיל</t>
  </si>
  <si>
    <t>אין התאמה בין עודף (גרעון) זמני לתחילת השנה בתקציב הבלתי רגיל לעודף (גרעון) לסוף השנה הקודמת</t>
  </si>
  <si>
    <t>יתרת חוב לתחילת השנה ארנונה</t>
  </si>
  <si>
    <t>יתרת חוב לסוף השנה ארנונה</t>
  </si>
  <si>
    <t>אין התאמה בין יתרת חוב לתחילת השנה ארנונה ליתרת חוב בסוף השנה הקודמת</t>
  </si>
  <si>
    <t>סה"כ (***)</t>
  </si>
  <si>
    <t>כח אדם  ייעודי</t>
  </si>
  <si>
    <t>כח אדם רשותי</t>
  </si>
  <si>
    <t>מצבת משרות</t>
  </si>
  <si>
    <t>כוח אדם</t>
  </si>
  <si>
    <t>במספרי השוואה הכלולים בדוח זה בוצע מיון מחדש</t>
  </si>
  <si>
    <t>לפיגורים</t>
  </si>
  <si>
    <t>לחיוב השנתי, נטו</t>
  </si>
  <si>
    <t>לסך לגביה</t>
  </si>
  <si>
    <t>רכוש קבוע</t>
  </si>
  <si>
    <t xml:space="preserve">ההשקעות ברכוש קבוע מופחתות עם זקיפת ההוצאות לתקציב הרגיל או הבלתי רגיל,  </t>
  </si>
  <si>
    <t>בהתאם למקור המימון, ואינן מוצגות כנכס במאזן ופחת בגינן אינו מקבל ביטוי על פני תקופות הדיווח.</t>
  </si>
  <si>
    <t>הלוואות שנתקבלו</t>
  </si>
  <si>
    <t>(1)</t>
  </si>
  <si>
    <t>הלוואות נרשמות כהכנסות בתקציב הבלתי רגיל עם קבלתן בפועל.</t>
  </si>
  <si>
    <t>(2)</t>
  </si>
  <si>
    <t>המאזן אינו כולל את יתרת ההלוואות לזמן ארוך שחבה העירייה (קרן, ריבית והפרשי הצמדה</t>
  </si>
  <si>
    <t>שנצברו), שכן ההלוואות נרשמו כהכנסות בזמן קבלתן, עומס המלוות לתאריך הדוח הכספי</t>
  </si>
  <si>
    <t>מוצג כנספח למאזן (נספח 3 לטופס 1).</t>
  </si>
  <si>
    <t>(3)</t>
  </si>
  <si>
    <t>פרעון מלוות (כולל קרן , ריבית והפרשי הצמדה/שער) שזמן פרעונם הגיע , לפי לוחות סילוקין,</t>
  </si>
  <si>
    <t>הנחות בארנונה (**)</t>
  </si>
  <si>
    <t>(**) כולל הנחות ועדה והנחות או פטורים על פי דין. הנחות מימון נכללו בסעיף הוצאות מימון</t>
  </si>
  <si>
    <t>חובות מסופקים או המיועדים למחיקה</t>
  </si>
  <si>
    <t>נזקף כהוצאה בתקציב הרגיל, גם אם לא שולמו בפועל.</t>
  </si>
  <si>
    <t>(4)</t>
  </si>
  <si>
    <t>תקציב בלתי רגיל ומאוחד</t>
  </si>
  <si>
    <t>הוצאות ריבית והפרשי הצמדה שהצטברו ושזמן פרעונן, לפי לוחות סילוקין, הוא</t>
  </si>
  <si>
    <t>לאחר תאריך הדוח הכספי, אינן נרשמות כהוצאה.</t>
  </si>
  <si>
    <t>(5)</t>
  </si>
  <si>
    <t>מלוות לצורך שעה (לזמן קצר) ומשיכות יתר מבנקים מוצגות כסעיף מאזני.</t>
  </si>
  <si>
    <t>(6)</t>
  </si>
  <si>
    <t>הלוואות לזמן קצר כוללות ריבית והפרשי הצמדה שנצברו עד לתאריך הדוח.</t>
  </si>
  <si>
    <t>(7)</t>
  </si>
  <si>
    <t>פרעון מלוות בגין ביוב נכלל בסעיף הוצאות מפעל הביוב / פרעון מלוות.</t>
  </si>
  <si>
    <t>זכויות מוניטריות</t>
  </si>
  <si>
    <r>
      <t xml:space="preserve">פירוט תקבולים לתב"רים בשנת הדוח - </t>
    </r>
    <r>
      <rPr>
        <u/>
        <sz val="8"/>
        <color indexed="62"/>
        <rFont val="Arial"/>
        <family val="2"/>
      </rPr>
      <t>נתונים לטופס 3*</t>
    </r>
  </si>
  <si>
    <r>
      <t xml:space="preserve">ריכוז התקבולים והתשלומים של התקציב הבלתי רגיל - לפי פרקי תקציב לשנת הכספים - </t>
    </r>
    <r>
      <rPr>
        <u/>
        <sz val="8"/>
        <color indexed="62"/>
        <rFont val="Arial"/>
        <family val="2"/>
      </rPr>
      <t>נספח 1 לטופס 3</t>
    </r>
    <r>
      <rPr>
        <u/>
        <sz val="8"/>
        <rFont val="Arial"/>
        <family val="2"/>
      </rPr>
      <t>*</t>
    </r>
  </si>
  <si>
    <r>
      <t xml:space="preserve">התאמה בין הדוחות הכספיים ליתרות הנ"ל - </t>
    </r>
    <r>
      <rPr>
        <u/>
        <sz val="8"/>
        <color indexed="62"/>
        <rFont val="Arial"/>
        <family val="2"/>
      </rPr>
      <t>נתונים והתאמות לטופס 4</t>
    </r>
    <r>
      <rPr>
        <u/>
        <sz val="8"/>
        <rFont val="Arial"/>
        <family val="2"/>
      </rPr>
      <t>*</t>
    </r>
  </si>
  <si>
    <t>זכויות מוניטריות מוצגות במאזן במחיר העלות כדלהלן:</t>
  </si>
  <si>
    <t xml:space="preserve">בנכסים -  השקעות במימון קרנות מתוקצבות.             </t>
  </si>
  <si>
    <t>בהתחייבויות - קרנות מתוקצבות.</t>
  </si>
  <si>
    <t>מלאי בלתי מוקצב</t>
  </si>
  <si>
    <t>חינוך (31) תקציב</t>
  </si>
  <si>
    <t>חינוך (31) ביצוע</t>
  </si>
  <si>
    <t>סה"כ תקבולים ממשרד החינוך + עצמיות חינוך צריך להיות קטן או שווה לסעיף תקבולי חינוך בטופס 2</t>
  </si>
  <si>
    <t>תקבולים ממשרד החינוך - תקציב</t>
  </si>
  <si>
    <t>עצמיות חינוך - תקציב</t>
  </si>
  <si>
    <t>תקבולים ממשרד החינוך - ביצוע</t>
  </si>
  <si>
    <t>עצמיות חינוך - ביצוע</t>
  </si>
  <si>
    <t>נספח 2 לטופס 1 פירוט ד</t>
  </si>
  <si>
    <t>יתרת פיגורים ריאלית לתחילת השנה -ארנונה</t>
  </si>
  <si>
    <t>יתרה לתחילת השנה - סה"כ ארנונה</t>
  </si>
  <si>
    <t>אין התאמה בין יתרה לתחילת שנה בארנונה בנספח 2 לטופס ו ובין נספח 2 לטופס 1 פירוט ד</t>
  </si>
  <si>
    <t>פקדונות בבנקים</t>
  </si>
  <si>
    <t>ו.</t>
  </si>
  <si>
    <t>ניירות ערך סחירים</t>
  </si>
  <si>
    <t>ז.</t>
  </si>
  <si>
    <t>רישום הכנסות</t>
  </si>
  <si>
    <t>הכנסות ממיסים, אגרות, הטלים והשתתפויות נרשמות על בסיס מזומן.</t>
  </si>
  <si>
    <t>מידע על מצב חשבון החייבים (יתרת החייבים שנצטברו) מוצג כנספח למאזן (נספח 2 לטופס 1).</t>
  </si>
  <si>
    <t>גביות מיסים והכנסות מראש המתייחסות לתקופה שלאחר תאריך המאזן מוצגות כהתחייבויות - הכנסות מיסים מראש.</t>
  </si>
  <si>
    <t>הנחות ופטורים מתשלומי חובה נרשמו כהוצאה בסעיף המתאים כנגד זיכוי סעיף הכנסה המתאים בתקציב הרגיל.</t>
  </si>
  <si>
    <t>ח.</t>
  </si>
  <si>
    <t>רישום הוצאות</t>
  </si>
  <si>
    <t>ההוצאות נרשמות על בסיס מצטבר.</t>
  </si>
  <si>
    <t>הגדרות כלליות*</t>
  </si>
  <si>
    <t>נתונים משותפים*</t>
  </si>
  <si>
    <t>נתונים כלליים*</t>
  </si>
  <si>
    <t>נתונים לטופס 1*</t>
  </si>
  <si>
    <t>ביאור 3*</t>
  </si>
  <si>
    <t>ביאור 4*</t>
  </si>
  <si>
    <t>ביאור 5*</t>
  </si>
  <si>
    <t>פרעון מלוות - ראה סעיף ב' לעיל.</t>
  </si>
  <si>
    <t>ט.</t>
  </si>
  <si>
    <t>רישום הכנסות מהשתתפות בעלים בעבודות פיתוח והיטלי השבחה</t>
  </si>
  <si>
    <t>תקבולים מהשתתפות בעלים בעבודות פיתוח ומהיטלי השבחה נזקפים לקרן לעבודות פיתוח.</t>
  </si>
  <si>
    <t>מקרנות הפיתוח מועברים סכומים לתקציב הרגיל בגין:</t>
  </si>
  <si>
    <t>השתתפויות ותרומות - תקציב</t>
  </si>
  <si>
    <t>השתתפויות ותרומות - ביצוע</t>
  </si>
  <si>
    <t>העברה ל / מ חובות מסופקים</t>
  </si>
  <si>
    <t>(1) הוצאות לפרעון מלוות בשנת הדוח בגין מלוות שנתקבלו למימון עבודות פיתוח.</t>
  </si>
  <si>
    <t>י.</t>
  </si>
  <si>
    <t>זקיפת התשואה על השקעות</t>
  </si>
  <si>
    <t>יא.</t>
  </si>
  <si>
    <t>ליום 31 בדצמבר באלפי ש"ח</t>
  </si>
  <si>
    <t>פירוט תקבולים ותשלומים לא רגילים (באלפי ש"ח)</t>
  </si>
  <si>
    <t>ג.נ.,</t>
  </si>
  <si>
    <t>מזומנים בקופות</t>
  </si>
  <si>
    <t xml:space="preserve">בנקים מסחריים </t>
  </si>
  <si>
    <t>בניכוי- השקעות מיועדות לכיסוי קרנות לעבודות פיתוח (2)</t>
  </si>
  <si>
    <t>כולל פקדונות לזמן קצר</t>
  </si>
  <si>
    <t>קיזוזים מעודפים</t>
  </si>
  <si>
    <t>שינויים ביתרות לתחילת השנה</t>
  </si>
  <si>
    <t>משרד החינוך</t>
  </si>
  <si>
    <t>משרד הפנים</t>
  </si>
  <si>
    <t>משרד הקליטה</t>
  </si>
  <si>
    <t>משרד התחבורה</t>
  </si>
  <si>
    <t>המשרד לבטחון פנים</t>
  </si>
  <si>
    <t>תאגידים עירוניים</t>
  </si>
  <si>
    <t>השקעות אחרות</t>
  </si>
  <si>
    <t>בנקים משיכות יתר</t>
  </si>
  <si>
    <t>ספקים, קבלנים ונותני שרותים</t>
  </si>
  <si>
    <t>עובדים וניכויים לשלם</t>
  </si>
  <si>
    <t>מוסדות וזכאים שונים</t>
  </si>
  <si>
    <t>מיסים מראש</t>
  </si>
  <si>
    <t>תקבולים  לא רגילים</t>
  </si>
  <si>
    <t xml:space="preserve">החזר השתתפויות </t>
  </si>
  <si>
    <t>תקבולים אחרים</t>
  </si>
  <si>
    <t>תשלומים לא רגילים</t>
  </si>
  <si>
    <t>חינוך עם תקן</t>
  </si>
  <si>
    <t>חינוך ללא תקן</t>
  </si>
  <si>
    <t>סה"כ חינוך</t>
  </si>
  <si>
    <t>רווחה עם תקן</t>
  </si>
  <si>
    <t>סה"כ רווחה</t>
  </si>
  <si>
    <t>(***) עם תקן</t>
  </si>
  <si>
    <t>(***) ללא תקן</t>
  </si>
  <si>
    <t>סה"כ עובדים בתקן</t>
  </si>
  <si>
    <t>יתר משרות - לא בתקציב רגיל (חו"ז, תב"ר, מ. סגור וכו')</t>
  </si>
  <si>
    <t>הנחות במיסים</t>
  </si>
  <si>
    <t>מיסים בשל הוצאות עודפות</t>
  </si>
  <si>
    <t>ביאורים לדוחות הכספיים</t>
  </si>
  <si>
    <r>
      <t>64 פרעון מלוות</t>
    </r>
    <r>
      <rPr>
        <sz val="8"/>
        <rFont val="Arial"/>
        <family val="2"/>
      </rPr>
      <t xml:space="preserve"> (</t>
    </r>
    <r>
      <rPr>
        <sz val="9"/>
        <rFont val="Arial"/>
        <family val="2"/>
        <charset val="177"/>
      </rPr>
      <t>למעט ביוב ומים</t>
    </r>
    <r>
      <rPr>
        <sz val="8"/>
        <rFont val="Arial"/>
        <family val="2"/>
      </rPr>
      <t>)</t>
    </r>
  </si>
  <si>
    <t>99</t>
  </si>
  <si>
    <t>9</t>
  </si>
  <si>
    <t>8</t>
  </si>
  <si>
    <r>
      <t xml:space="preserve">מצב חשבון המלוות לפרעון - </t>
    </r>
    <r>
      <rPr>
        <u/>
        <sz val="8"/>
        <color indexed="62"/>
        <rFont val="Arial"/>
        <family val="2"/>
      </rPr>
      <t>נספח 3 לטופס 1</t>
    </r>
    <r>
      <rPr>
        <u/>
        <sz val="8"/>
        <rFont val="Arial"/>
        <family val="2"/>
      </rPr>
      <t>*</t>
    </r>
  </si>
  <si>
    <r>
      <t xml:space="preserve">דוח גביה וחייבים שנה קודמת - </t>
    </r>
    <r>
      <rPr>
        <u/>
        <sz val="8"/>
        <color indexed="62"/>
        <rFont val="Arial"/>
        <family val="2"/>
      </rPr>
      <t>נתונים לנספח 2 לטופס 1</t>
    </r>
    <r>
      <rPr>
        <u/>
        <sz val="8"/>
        <rFont val="Arial"/>
        <family val="2"/>
      </rPr>
      <t>*</t>
    </r>
  </si>
  <si>
    <r>
      <t xml:space="preserve">דוח ביצוע התקציב רגיל - ממוין לפי מסגרת משרד הפנים - </t>
    </r>
    <r>
      <rPr>
        <u/>
        <sz val="8"/>
        <color indexed="62"/>
        <rFont val="Arial"/>
        <family val="2"/>
      </rPr>
      <t>נספח 3 לטופס 2</t>
    </r>
    <r>
      <rPr>
        <u/>
        <sz val="8"/>
        <rFont val="Arial"/>
        <family val="2"/>
      </rPr>
      <t>*</t>
    </r>
  </si>
  <si>
    <r>
      <t xml:space="preserve">התפלגות מרכיבי השכר - </t>
    </r>
    <r>
      <rPr>
        <u/>
        <sz val="8"/>
        <color indexed="62"/>
        <rFont val="Arial"/>
        <family val="2"/>
      </rPr>
      <t>נספח 5 לטופס 2</t>
    </r>
    <r>
      <rPr>
        <u/>
        <sz val="8"/>
        <rFont val="Arial"/>
        <family val="2"/>
      </rPr>
      <t>*</t>
    </r>
  </si>
  <si>
    <r>
      <t xml:space="preserve">ארנונה כללית - ניתוח תעריפים למ"ר - </t>
    </r>
    <r>
      <rPr>
        <u/>
        <sz val="8"/>
        <color indexed="62"/>
        <rFont val="Arial"/>
        <family val="2"/>
      </rPr>
      <t>נספח 6 לטופס 2</t>
    </r>
    <r>
      <rPr>
        <u/>
        <sz val="8"/>
        <rFont val="Arial"/>
        <family val="2"/>
      </rPr>
      <t>*</t>
    </r>
  </si>
  <si>
    <r>
      <t xml:space="preserve">ניתוח הביצוע של התקציב הרגיל- </t>
    </r>
    <r>
      <rPr>
        <u/>
        <sz val="7.5"/>
        <rFont val="Arial"/>
        <family val="2"/>
      </rPr>
      <t>תקבולים ותשלומים לפי מקורות הכנסה וסוגי הוצאה</t>
    </r>
    <r>
      <rPr>
        <u/>
        <sz val="8"/>
        <rFont val="Arial"/>
        <family val="2"/>
      </rPr>
      <t>-</t>
    </r>
    <r>
      <rPr>
        <u/>
        <sz val="7.5"/>
        <color indexed="62"/>
        <rFont val="Arial"/>
        <family val="2"/>
      </rPr>
      <t>נספח 1 לט. 2 המשך</t>
    </r>
    <r>
      <rPr>
        <u/>
        <sz val="8"/>
        <rFont val="Arial"/>
        <family val="2"/>
      </rPr>
      <t>*</t>
    </r>
  </si>
  <si>
    <r>
      <t xml:space="preserve">ניתוח הביצוע של התקציב הרגיל- </t>
    </r>
    <r>
      <rPr>
        <u/>
        <sz val="7.5"/>
        <rFont val="Arial"/>
        <family val="2"/>
      </rPr>
      <t>תקבולים ותשלומים לפי מקורות הכנסה וסוגי הוצאה</t>
    </r>
    <r>
      <rPr>
        <u/>
        <sz val="8"/>
        <rFont val="Arial"/>
        <family val="2"/>
      </rPr>
      <t>-</t>
    </r>
    <r>
      <rPr>
        <u/>
        <sz val="7.5"/>
        <color indexed="62"/>
        <rFont val="Arial"/>
        <family val="2"/>
      </rPr>
      <t>נספח 1 לט. 2</t>
    </r>
    <r>
      <rPr>
        <u/>
        <sz val="8"/>
        <rFont val="Arial"/>
        <family val="2"/>
      </rPr>
      <t>*</t>
    </r>
  </si>
  <si>
    <r>
      <t xml:space="preserve">ניתוח הביצוע של התקציב הרגיל- </t>
    </r>
    <r>
      <rPr>
        <u/>
        <sz val="7.5"/>
        <rFont val="Arial"/>
        <family val="2"/>
      </rPr>
      <t>הוצאות לפי שרותים ויעדים לעומת הכנסות מיועדות ולא מיועדות-</t>
    </r>
    <r>
      <rPr>
        <u/>
        <sz val="7.5"/>
        <color indexed="62"/>
        <rFont val="Arial"/>
        <family val="2"/>
      </rPr>
      <t>נס. 2 לט.2</t>
    </r>
  </si>
  <si>
    <r>
      <t xml:space="preserve">דוח גביה ויתרות חייבים - </t>
    </r>
    <r>
      <rPr>
        <u/>
        <sz val="8"/>
        <color indexed="62"/>
        <rFont val="Arial"/>
        <family val="2"/>
      </rPr>
      <t>נספח 2 לטופס 1 פרוט ד</t>
    </r>
    <r>
      <rPr>
        <u/>
        <sz val="8"/>
        <rFont val="Arial"/>
        <family val="2"/>
      </rPr>
      <t>*</t>
    </r>
  </si>
  <si>
    <r>
      <t>מצב חשבון החייבים בעד ארנונות הטלים והשתת' לפי נתוני אגף הגביה-</t>
    </r>
    <r>
      <rPr>
        <u/>
        <sz val="7.5"/>
        <color indexed="62"/>
        <rFont val="Arial"/>
        <family val="2"/>
      </rPr>
      <t>נספח 2 לטופס 1</t>
    </r>
    <r>
      <rPr>
        <u/>
        <sz val="8"/>
        <rFont val="Arial"/>
        <family val="2"/>
      </rPr>
      <t>*</t>
    </r>
  </si>
  <si>
    <t>הערה:</t>
  </si>
  <si>
    <t>טבלת השטחים והחיובים נערכה לתחילת השנה ואינה כוללת את השינוי בסכומי המס בשל הצמדה ואת הגידול הטבעי בחיובי ארנונה אשר חל במהלך השנה כתוצאה מתוספת נכסים.</t>
  </si>
  <si>
    <r>
      <t>מצב חשבון החייבים בעד ארנונות הטלים והשתת' לפי נתוני אגף הגביה-</t>
    </r>
    <r>
      <rPr>
        <u/>
        <sz val="7.5"/>
        <color indexed="62"/>
        <rFont val="Arial"/>
        <family val="2"/>
      </rPr>
      <t>נס. 2 לט. 1 פרוט ב</t>
    </r>
    <r>
      <rPr>
        <u/>
        <sz val="8"/>
        <rFont val="Arial"/>
        <family val="2"/>
      </rPr>
      <t>*</t>
    </r>
  </si>
  <si>
    <r>
      <t>מצב חשבון החייבים בעד ארנונות הטלים והשתת' לפי נתוני אגף הגביה-</t>
    </r>
    <r>
      <rPr>
        <u/>
        <sz val="7.5"/>
        <color indexed="62"/>
        <rFont val="Arial"/>
        <family val="2"/>
      </rPr>
      <t>נס. 2 לט. 1 פרוט ג</t>
    </r>
    <r>
      <rPr>
        <u/>
        <sz val="8"/>
        <rFont val="Arial"/>
        <family val="2"/>
      </rPr>
      <t>*</t>
    </r>
  </si>
  <si>
    <r>
      <t>מצב חשבון החייבים בעד ארנונות הטלים והשתת' לפי נתוני אגף הגביה-</t>
    </r>
    <r>
      <rPr>
        <u/>
        <sz val="7.5"/>
        <color indexed="62"/>
        <rFont val="Arial"/>
        <family val="2"/>
      </rPr>
      <t>נס. 2 לט. 1 פרוט א</t>
    </r>
    <r>
      <rPr>
        <u/>
        <sz val="8"/>
        <rFont val="Arial"/>
        <family val="2"/>
      </rPr>
      <t>*</t>
    </r>
  </si>
  <si>
    <t>דוחות כללי</t>
  </si>
  <si>
    <t>ביאור 6 - נתוני משרד הרווחה בתקציב הרגיל</t>
  </si>
  <si>
    <t>קרן לעבודות פיתוח</t>
  </si>
  <si>
    <t>יחס גביה מפיגורים:</t>
  </si>
  <si>
    <t>ארנונה קודמת</t>
  </si>
  <si>
    <t>מים נוכחית</t>
  </si>
  <si>
    <t>מים קודמת</t>
  </si>
  <si>
    <t>ארנונה נוכחית</t>
  </si>
  <si>
    <t>יתרה לתחילת שנה</t>
  </si>
  <si>
    <t>תקבולים בשנת הדוח</t>
  </si>
  <si>
    <t>הכנסות מהשקעות</t>
  </si>
  <si>
    <t>העברות לתב"רים</t>
  </si>
  <si>
    <t>העברות לקרנות אחרות</t>
  </si>
  <si>
    <t>תשלומים אחרים והוצאות</t>
  </si>
  <si>
    <t>יתרה לסוף השנה</t>
  </si>
  <si>
    <t>שם הקרן</t>
  </si>
  <si>
    <t>סה"כ שנה קודמת</t>
  </si>
  <si>
    <t>קרן הטל השבחה</t>
  </si>
  <si>
    <t>קרן ממכירת נכסים</t>
  </si>
  <si>
    <t>קרן ממכירת מקרקעין</t>
  </si>
  <si>
    <t>קרן ביוב</t>
  </si>
  <si>
    <t>קרן ניקוז</t>
  </si>
  <si>
    <t>קרן עודפי תב"רים סופיים</t>
  </si>
  <si>
    <t>קרנות פיתוח</t>
  </si>
  <si>
    <t>קרנות אחרות</t>
  </si>
  <si>
    <t>סה"כ</t>
  </si>
  <si>
    <t>נספח 5 לטופס 2</t>
  </si>
  <si>
    <t>אין התאמה בין השקעות לכיסוי קרנות לקרנות בפאסיב</t>
  </si>
  <si>
    <t>השקעות לכיסוי הקרן גבוהות מהקרן. יש להעביר ההפרש לנכסים נזילים</t>
  </si>
  <si>
    <t>גבול אזור הדפסה -&gt;</t>
  </si>
  <si>
    <t>^גבול אזור הדפסה^</t>
  </si>
  <si>
    <r>
      <t>לתשומת לב:</t>
    </r>
    <r>
      <rPr>
        <sz val="10"/>
        <color indexed="12"/>
        <rFont val="Arial"/>
        <family val="2"/>
      </rPr>
      <t xml:space="preserve"> הוספת שורות צריכה להתבצע </t>
    </r>
    <r>
      <rPr>
        <b/>
        <sz val="10"/>
        <color indexed="12"/>
        <rFont val="Arial"/>
        <family val="2"/>
      </rPr>
      <t>בתוך</t>
    </r>
    <r>
      <rPr>
        <sz val="10"/>
        <color indexed="12"/>
        <rFont val="Arial"/>
        <family val="2"/>
      </rPr>
      <t xml:space="preserve"> אזור ההדפסה המוגדר בגליון</t>
    </r>
  </si>
  <si>
    <t>סה"כ חיוב שנה נוכחית</t>
  </si>
  <si>
    <t>סה"כ חיוב אזורי תעשיה משותפים שנה נוכחית</t>
  </si>
  <si>
    <t>אין התאמה בין חיוב תקופתי שוטף מצטבר בנספח 2 לטופס 1 פירוט ד לסה"כ חיוב בטבלת שטחים וגביה</t>
  </si>
  <si>
    <t>בדוח רואי החשבון נרשמה הימנעות ממתן חוות דעת על הדוח הכספי</t>
  </si>
  <si>
    <t>בדוח רואי החשבון נרשמה הסתייגות ביחס לאופן הצגת נתונים מסויימים</t>
  </si>
  <si>
    <t>בדוח רואי החשבון נרשמה הסתייגות ביחס לגרעון השוטף</t>
  </si>
  <si>
    <t>הרשות המקומית סרבה לחתום על הדוח הכספי ולכן רו"ח נמנע ממתן חוו"ד על הדוח הכספי</t>
  </si>
  <si>
    <t>בדוח רואי החשבון נרשמה הסתייגות מחמת הגבלה בביקורת</t>
  </si>
  <si>
    <t>העברות לקרנות פיתוח</t>
  </si>
  <si>
    <t>העברות מקרנות פיתוח</t>
  </si>
  <si>
    <t>העברות מהתקציב הרגיל</t>
  </si>
  <si>
    <t>העברות מתב"רים</t>
  </si>
  <si>
    <t>העברות מקרנות אחרות</t>
  </si>
  <si>
    <t>העברות לתקציב הרגיל</t>
  </si>
  <si>
    <t>העברות לתבר"ים</t>
  </si>
  <si>
    <t>הערות:</t>
  </si>
  <si>
    <t>היטל צריכה עודפת</t>
  </si>
  <si>
    <t>אלפי ש''ח</t>
  </si>
  <si>
    <t>אין התאמה בין הסטיה מהתקציב  לעודף (גרעון) נטו בפרק הנוכחי</t>
  </si>
  <si>
    <t>חיוב שנתי למגורים (חיוב ראשוני)</t>
  </si>
  <si>
    <t>4. הכנסות מימון</t>
  </si>
  <si>
    <t>יחס חריגה תקינה בשכר</t>
  </si>
  <si>
    <t>מיון מחדש: בחר "כן" לציון הערה בספר הלבן על כך שבוצע מיון מחדש במספרי השוואה</t>
  </si>
  <si>
    <t>התחייבויות לזמן ארוך</t>
  </si>
  <si>
    <t>סה"כ התחיבויות לזמן ארוך</t>
  </si>
  <si>
    <t>מצב חשבון החייבים בעד ארנונות, הטלים והשתתפויות לפי נתוני אגף הגביה (אלפי ש"ח)</t>
  </si>
  <si>
    <t>יתרה לתחילת השנה</t>
  </si>
  <si>
    <t>חיוב בשנת החשבון</t>
  </si>
  <si>
    <t>סה"כ פטורים, שחרורים והנחות</t>
  </si>
  <si>
    <t>סה"כ חיובים נטו</t>
  </si>
  <si>
    <t>סה"כ גביות בשנת הדוח</t>
  </si>
  <si>
    <t xml:space="preserve">יתרה לסוף השנה </t>
  </si>
  <si>
    <t>יחס גביה ב - % לכלל החיובים</t>
  </si>
  <si>
    <t>מספר</t>
  </si>
  <si>
    <t>(פירוט א)</t>
  </si>
  <si>
    <t>(פירוט ב)</t>
  </si>
  <si>
    <t>(פירוט ג)</t>
  </si>
  <si>
    <t xml:space="preserve">א. </t>
  </si>
  <si>
    <t>חשבונות על בסיס חיוב שנתי</t>
  </si>
  <si>
    <t>אגרת ביוב</t>
  </si>
  <si>
    <t>סה"כ חשבונות על בסיס חיוב שנתי חוזר</t>
  </si>
  <si>
    <t xml:space="preserve">ב. </t>
  </si>
  <si>
    <t>חשבונות על בסיס חיוב חד פעמי</t>
  </si>
  <si>
    <t>חניה וקנסות חניה</t>
  </si>
  <si>
    <t>שכר דירה</t>
  </si>
  <si>
    <t>קנסות</t>
  </si>
  <si>
    <t>עצמיות חינוך</t>
  </si>
  <si>
    <t>עצמיות תרבות</t>
  </si>
  <si>
    <t>עצמיות רווחה</t>
  </si>
  <si>
    <t>עצמיות דת</t>
  </si>
  <si>
    <t>הטלי השבחה</t>
  </si>
  <si>
    <t>הטלי פיתוח</t>
  </si>
  <si>
    <t>אגרות בניה</t>
  </si>
  <si>
    <t>הטל ביוב</t>
  </si>
  <si>
    <t>מדי מים</t>
  </si>
  <si>
    <t>סה"כ חשבונות על בסיס חיוב חד-פעמי</t>
  </si>
  <si>
    <t>סה"כ בשנת הדוח</t>
  </si>
  <si>
    <t>שנה קודמת</t>
  </si>
  <si>
    <t>יישום הדוח הכספי - תוכן הענינים</t>
  </si>
  <si>
    <t>שנתיים קודמות</t>
  </si>
  <si>
    <t>מס.</t>
  </si>
  <si>
    <t>שם החשבון</t>
  </si>
  <si>
    <t>חיוב ראשוני</t>
  </si>
  <si>
    <t>חיובי ריבית והצמדה על השוטף</t>
  </si>
  <si>
    <t>חיובי ריבית והצמדה בגין חובות קודמים</t>
  </si>
  <si>
    <t>סה"כ חשבונות על בסיס חיוב שנתי</t>
  </si>
  <si>
    <t xml:space="preserve">   </t>
  </si>
  <si>
    <t>מחיקת חובות/חובות אבודים</t>
  </si>
  <si>
    <t>הנחות על פי דין</t>
  </si>
  <si>
    <t>הנחות על פי ועדה</t>
  </si>
  <si>
    <t>הביאורים והפירוטים לדוחות הכספיים הינם חלק בלתי נפרד מהם</t>
  </si>
  <si>
    <t>הנחות מימון</t>
  </si>
  <si>
    <t>סה"כ פטורים שחרורים והנחות</t>
  </si>
  <si>
    <t>גביה השנה</t>
  </si>
  <si>
    <t>גבית פיגורים</t>
  </si>
  <si>
    <t>קרן</t>
  </si>
  <si>
    <t>בשנת הדוח</t>
  </si>
  <si>
    <t>מצב חשבון המלוות לפרעון</t>
  </si>
  <si>
    <r>
      <t xml:space="preserve">מאזן - </t>
    </r>
    <r>
      <rPr>
        <u/>
        <sz val="10"/>
        <color indexed="62"/>
        <rFont val="Arial"/>
        <family val="2"/>
      </rPr>
      <t>טופס 1 פאסיב</t>
    </r>
    <r>
      <rPr>
        <u/>
        <sz val="10"/>
        <rFont val="Arial"/>
        <family val="2"/>
      </rPr>
      <t>*</t>
    </r>
  </si>
  <si>
    <r>
      <t xml:space="preserve">ריכוז תקבולים ותשלומים של התקציב הרגיל לפי פרקי תקציב - </t>
    </r>
    <r>
      <rPr>
        <u/>
        <sz val="10"/>
        <color indexed="62"/>
        <rFont val="Arial"/>
        <family val="2"/>
      </rPr>
      <t>טופס 2</t>
    </r>
    <r>
      <rPr>
        <u/>
        <sz val="10"/>
        <rFont val="Arial"/>
        <family val="2"/>
      </rPr>
      <t>*</t>
    </r>
  </si>
  <si>
    <r>
      <t xml:space="preserve">ריכוז תקבולים ותשלומים בתקציב הרגיל, הבלתי רגיל ובקרן לעבודות פיתוח - </t>
    </r>
    <r>
      <rPr>
        <u/>
        <sz val="10"/>
        <color indexed="62"/>
        <rFont val="Arial"/>
        <family val="2"/>
      </rPr>
      <t>טופס 4</t>
    </r>
  </si>
  <si>
    <r>
      <t xml:space="preserve">ריכוז התקבולים והתשלומים של התקציב הבלתי רגיל - </t>
    </r>
    <r>
      <rPr>
        <u/>
        <sz val="10"/>
        <color indexed="62"/>
        <rFont val="Arial"/>
        <family val="2"/>
      </rPr>
      <t>טופס 3</t>
    </r>
    <r>
      <rPr>
        <u/>
        <sz val="10"/>
        <rFont val="Arial"/>
        <family val="2"/>
      </rPr>
      <t>*</t>
    </r>
  </si>
  <si>
    <t>יתרות המלוות (קרן) שנתקבלו למעשה ונשארו לפרעון בתחילת השנה</t>
  </si>
  <si>
    <t>יתרת מלוות (קרן בלבד) לסוף השנה</t>
  </si>
  <si>
    <t>נוסף - הפרשי הצמדה על הקרן שנצברו לסוף השנה *</t>
  </si>
  <si>
    <t>סה"כ עומס המלוות לסוף השנה כולל הפרשי הצמדה</t>
  </si>
  <si>
    <t>סכום פרעון המלוות בתקציב הרגיל בשנת הדוח:</t>
  </si>
  <si>
    <t>ריבית</t>
  </si>
  <si>
    <t xml:space="preserve">הצמדה </t>
  </si>
  <si>
    <t xml:space="preserve">**סה"כ </t>
  </si>
  <si>
    <t>בסעיף פרעון מלוות</t>
  </si>
  <si>
    <t>בסעיף מפעלי הביוב</t>
  </si>
  <si>
    <t>בסעיף אחר</t>
  </si>
  <si>
    <t>להלן תחזית פרעון המלוות (קרן והצמדה):</t>
  </si>
  <si>
    <t>שנה ראשונה</t>
  </si>
  <si>
    <t>שנה שניה</t>
  </si>
  <si>
    <t>שנה שלישית</t>
  </si>
  <si>
    <t>שנה רביעית</t>
  </si>
  <si>
    <t>שנה חמישית</t>
  </si>
  <si>
    <t>שנה שישית ואילך</t>
  </si>
  <si>
    <t>ניתוח הביצוע של התקציב הרגיל  - תקבולים ותשלומים לפי מקורות הכנסה וסוגי הוצאה</t>
  </si>
  <si>
    <t>חלק א' - תקבולים ותשלומים כללי</t>
  </si>
  <si>
    <t>תקציב מקורי</t>
  </si>
  <si>
    <t>שינויים</t>
  </si>
  <si>
    <t>התקציב</t>
  </si>
  <si>
    <t>הביצוע</t>
  </si>
  <si>
    <t>הסטיות נטו</t>
  </si>
  <si>
    <t>מתחת</t>
  </si>
  <si>
    <t>מעל</t>
  </si>
  <si>
    <t>חלק ב' - הכנסות לפי מקורות</t>
  </si>
  <si>
    <t>% מסה"כ</t>
  </si>
  <si>
    <t>הכנסה עצמית</t>
  </si>
  <si>
    <t>גביה ישירה</t>
  </si>
  <si>
    <t>הכנסות מריבית, שונות ובלתי רגילות</t>
  </si>
  <si>
    <t>הכנסות מהממשלה</t>
  </si>
  <si>
    <t>השתתפות משרדי ממשלה</t>
  </si>
  <si>
    <t>מענק כללי</t>
  </si>
  <si>
    <t>סה"כ הכנסות לפי מקורות</t>
  </si>
  <si>
    <t>הסטיות</t>
  </si>
  <si>
    <t>נטו</t>
  </si>
  <si>
    <t>ניתוח הביצוע של התקציב הרגיל - תקבולים ותשלומים לפי מקורות הכנסה וסוגי הוצאה</t>
  </si>
  <si>
    <t>סוג ההוצאה</t>
  </si>
  <si>
    <t>1</t>
  </si>
  <si>
    <t>משכורות ושכר</t>
  </si>
  <si>
    <t>2</t>
  </si>
  <si>
    <t>3</t>
  </si>
  <si>
    <t>4</t>
  </si>
  <si>
    <t>5</t>
  </si>
  <si>
    <t>השתתפויות ותרומות</t>
  </si>
  <si>
    <t>6</t>
  </si>
  <si>
    <t>הוצאות חד פעמיות</t>
  </si>
  <si>
    <t>7</t>
  </si>
  <si>
    <t>פרעון מלוות</t>
  </si>
  <si>
    <t>סה"כ הוצאות</t>
  </si>
  <si>
    <t>3. פירוטים לסעיף "מים" בטופס 2</t>
  </si>
  <si>
    <t>פרעון מלוות מים</t>
  </si>
  <si>
    <t>הוצאות מים אחרות</t>
  </si>
  <si>
    <r>
      <t>הערה</t>
    </r>
    <r>
      <rPr>
        <b/>
        <sz val="10"/>
        <rFont val="Arial"/>
        <family val="2"/>
        <charset val="177"/>
      </rPr>
      <t>:  בטופס זה יוקלדו נתוני הנהלת החשבונות ולא נתוני מערכת הגביה</t>
    </r>
  </si>
  <si>
    <t>פירוטים לטופס 2 (הוצאות מים) ולנספח 1 לטופס 2 חלק ב וחלק ג</t>
  </si>
  <si>
    <t>בסעיף מפעל המים</t>
  </si>
  <si>
    <t>ניתוח הביצוע של התקציב הרגיל - הוצאות לפי שרותים ויעדים לעומת הכנסות מיועדות ובלתי מיועדות</t>
  </si>
  <si>
    <t>מספרי הפרקים</t>
  </si>
  <si>
    <t>עודף (גרעון)</t>
  </si>
  <si>
    <t>פרקי התקציב</t>
  </si>
  <si>
    <t>סטיות</t>
  </si>
  <si>
    <t>לפי</t>
  </si>
  <si>
    <t>הסטייה נטו</t>
  </si>
  <si>
    <t>מעל (מתחת)</t>
  </si>
  <si>
    <t>(מעל) מתחת</t>
  </si>
  <si>
    <t>א. הכנסות והוצאות מיועדות</t>
  </si>
  <si>
    <t>1. הנהלה וכלליות</t>
  </si>
  <si>
    <t>2. שירותים מקומיים</t>
  </si>
  <si>
    <t>3. שירותים ממלכתיים</t>
  </si>
  <si>
    <t>4. מפעלים</t>
  </si>
  <si>
    <t>5. בלתי רגילים</t>
  </si>
  <si>
    <t>סה"כ הכנסות והוצאות מיועדות</t>
  </si>
  <si>
    <t>ב. הכנסות בלתי מיועדות</t>
  </si>
  <si>
    <t>1. גביה ישירה</t>
  </si>
  <si>
    <t>2. מענקים כלליים</t>
  </si>
  <si>
    <t>3. מענקים מיוחדים</t>
  </si>
  <si>
    <t>סה"כ הכנסות בלתי מיועדות</t>
  </si>
  <si>
    <t>אי איזון תקציבי</t>
  </si>
  <si>
    <t>הסטיה נטו עודף (גרעון)</t>
  </si>
  <si>
    <t>מספרי</t>
  </si>
  <si>
    <t>הפרקים</t>
  </si>
  <si>
    <t>שנה נוכחית</t>
  </si>
  <si>
    <t>שכר ממוצע</t>
  </si>
  <si>
    <t>מצבת</t>
  </si>
  <si>
    <t>הוצאות שכר</t>
  </si>
  <si>
    <t>בפועל</t>
  </si>
  <si>
    <t xml:space="preserve">תקן </t>
  </si>
  <si>
    <t>משרות כח אדם</t>
  </si>
  <si>
    <t>לשנה למשרה</t>
  </si>
  <si>
    <t>סוג משרה</t>
  </si>
  <si>
    <t>ממוצעת</t>
  </si>
  <si>
    <t>אלפי ש"ח</t>
  </si>
  <si>
    <t>חינוך</t>
  </si>
  <si>
    <t>יתר המשרות</t>
  </si>
  <si>
    <t xml:space="preserve">נבחרים  </t>
  </si>
  <si>
    <t>פנסיונרים</t>
  </si>
  <si>
    <t>התפלגות מרכיבי השכר</t>
  </si>
  <si>
    <t>סוג תשלום</t>
  </si>
  <si>
    <t xml:space="preserve">שכר משולב כולל הפרשי שכר  </t>
  </si>
  <si>
    <t>שעות נוספות  - רשומות</t>
  </si>
  <si>
    <t>פיצויי פיטורין</t>
  </si>
  <si>
    <t>אחזקת רכב</t>
  </si>
  <si>
    <t>תשלומי פנסיה</t>
  </si>
  <si>
    <t>אש"ל</t>
  </si>
  <si>
    <t>תשלומים שונים - הבראה, ביגוד, טלפון, קצובת נסיעה ועוד</t>
  </si>
  <si>
    <t>סה"כ שכר ותשלומים</t>
  </si>
  <si>
    <t>תקבולים למחזור מלוות</t>
  </si>
  <si>
    <t>פרעון מלוות שמוחזרו</t>
  </si>
  <si>
    <t>תשלומי ביטוח לאומי מעביד</t>
  </si>
  <si>
    <t>קופת גמל מעביד, קרן השתלמות</t>
  </si>
  <si>
    <t>מס שכר ומס מעסיקים</t>
  </si>
  <si>
    <t>עלויות מעביד אחרות</t>
  </si>
  <si>
    <t>סה"כ נלוות</t>
  </si>
  <si>
    <t xml:space="preserve">התאמה בין הוצאות השכר הנ"ל לבין הוצאות השכר בנספח 1 לטופס 2 </t>
  </si>
  <si>
    <t xml:space="preserve">סה"כ שכר ומשכורות לפי דוחות 66 החודשיים - </t>
  </si>
  <si>
    <t>הוצאות שכר לפי נספח 1 לטופס 2</t>
  </si>
  <si>
    <t>לכבוד</t>
  </si>
  <si>
    <t>ירושלים</t>
  </si>
  <si>
    <t xml:space="preserve">ארנונה כללית - ניתוח תעריפים למ"ר בשקלים חדשים </t>
  </si>
  <si>
    <t>הסקטור</t>
  </si>
  <si>
    <t xml:space="preserve">תעריף </t>
  </si>
  <si>
    <t>תעריף</t>
  </si>
  <si>
    <t>מינימום(*)</t>
  </si>
  <si>
    <t>משוקלל</t>
  </si>
  <si>
    <t>הסטיה מהתקציב -עודפים</t>
  </si>
  <si>
    <t>גרעונות</t>
  </si>
  <si>
    <t>מספר התב"רים</t>
  </si>
  <si>
    <t>הפרק התקציבי</t>
  </si>
  <si>
    <t xml:space="preserve">מס' </t>
  </si>
  <si>
    <t xml:space="preserve">התקציב </t>
  </si>
  <si>
    <t>עודף</t>
  </si>
  <si>
    <t>עקב</t>
  </si>
  <si>
    <t>תב"רים</t>
  </si>
  <si>
    <t>פרק</t>
  </si>
  <si>
    <t>המאושר</t>
  </si>
  <si>
    <t>דוח כספי שנתי מבוקר</t>
  </si>
  <si>
    <t>תוכן הענינים</t>
  </si>
  <si>
    <t>א. דין וחשבון רואי החשבון המבקרים</t>
  </si>
  <si>
    <t>ב. דוחות כספיים</t>
  </si>
  <si>
    <t>1. מאזן - טופס מספר 1</t>
  </si>
  <si>
    <t>2. ריכוז תקבולים ותשלומים של התקציב הרגיל לפי פרקי התקציב - טופס מספר 2</t>
  </si>
  <si>
    <t>3. ריכוז תקבולים ותשלומים של התקציב הבלתי רגיל - טופס מספר 3</t>
  </si>
  <si>
    <t>4. ריכוז תקבולים ותשלומים של התקציב הרגיל, הבלתי רגיל וקרן לעבודות פיתוח - טופס מספר 4</t>
  </si>
  <si>
    <t>ג. ביאורים לדוחות הכספיים</t>
  </si>
  <si>
    <t>ד. נספחים</t>
  </si>
  <si>
    <t>ה. מידע נוסף</t>
  </si>
  <si>
    <t>עמוד</t>
  </si>
  <si>
    <t>ובלתי מיועדות - נספח 2 לטופס 2</t>
  </si>
  <si>
    <t xml:space="preserve">הכנסות </t>
  </si>
  <si>
    <t xml:space="preserve">הוצאות </t>
  </si>
  <si>
    <t>(גרעון)</t>
  </si>
  <si>
    <t>פתוחים</t>
  </si>
  <si>
    <t>סגורים</t>
  </si>
  <si>
    <t>ברוטו</t>
  </si>
  <si>
    <t>מנהל כללי</t>
  </si>
  <si>
    <t>מנהל כספי</t>
  </si>
  <si>
    <t>הוצאות מימון</t>
  </si>
  <si>
    <t>תברואה</t>
  </si>
  <si>
    <t>שמירה ובטחון</t>
  </si>
  <si>
    <t>תכנון ובנין עיר</t>
  </si>
  <si>
    <t>נכסים ציבוריים</t>
  </si>
  <si>
    <t>חגיגות, מבצעים וארועים</t>
  </si>
  <si>
    <t>שירותים עירוניים שונים</t>
  </si>
  <si>
    <t>פיתוח כלכלי</t>
  </si>
  <si>
    <t>פיקוח עירוני</t>
  </si>
  <si>
    <t>שירותים חקלאיים</t>
  </si>
  <si>
    <t>תרבות</t>
  </si>
  <si>
    <t>בריאות</t>
  </si>
  <si>
    <t>רווחה</t>
  </si>
  <si>
    <t>דת</t>
  </si>
  <si>
    <t>קליטת עליה</t>
  </si>
  <si>
    <t>איכות הסביבה</t>
  </si>
  <si>
    <t>מים</t>
  </si>
  <si>
    <t>בתי מטבחים</t>
  </si>
  <si>
    <t>תחבורה</t>
  </si>
  <si>
    <t>מפעלי תעסוקה</t>
  </si>
  <si>
    <t>חשמל</t>
  </si>
  <si>
    <t>מפעל הביוב</t>
  </si>
  <si>
    <t>מפעלים אחרים</t>
  </si>
  <si>
    <t>לא רגילים</t>
  </si>
  <si>
    <t>תב"רים שנסתיימו</t>
  </si>
  <si>
    <t>סטיה -</t>
  </si>
  <si>
    <t>עודפים</t>
  </si>
  <si>
    <t>הביצוע עד</t>
  </si>
  <si>
    <t>הביצוע בשנת</t>
  </si>
  <si>
    <t>המצטבר</t>
  </si>
  <si>
    <t>(באלפי ש"ח)</t>
  </si>
  <si>
    <t>מספר התושבים</t>
  </si>
  <si>
    <t>מספר משקי בית</t>
  </si>
  <si>
    <t>דירוג סוציו-אקונומי</t>
  </si>
  <si>
    <t>מאזן</t>
  </si>
  <si>
    <t>השקעות</t>
  </si>
  <si>
    <t>השקעות לכיסוי קרנות</t>
  </si>
  <si>
    <t>מתוקצבות ואחרות</t>
  </si>
  <si>
    <t>גרעון מצטבר בתקציב</t>
  </si>
  <si>
    <t>עודף מצטבר בתקציב הרגיל</t>
  </si>
  <si>
    <t>הרגיל</t>
  </si>
  <si>
    <t>גרעון סופי בתב"ר</t>
  </si>
  <si>
    <t>גרעונות זמניים נטו</t>
  </si>
  <si>
    <t>בתב"ר</t>
  </si>
  <si>
    <t>עודפים זמניים נטו בתב"ר</t>
  </si>
  <si>
    <t>נתוני התקציב הרגיל</t>
  </si>
  <si>
    <t>2.1</t>
  </si>
  <si>
    <t xml:space="preserve"> הכנסות</t>
  </si>
  <si>
    <t xml:space="preserve">ביצוע  </t>
  </si>
  <si>
    <t xml:space="preserve"> % </t>
  </si>
  <si>
    <t>הכנסות עצמיות</t>
  </si>
  <si>
    <t>משרדי ממשלה</t>
  </si>
  <si>
    <t xml:space="preserve">מענק כללי </t>
  </si>
  <si>
    <t>למ"ר</t>
  </si>
  <si>
    <t>מענק להקטנת גרעון מצטבר</t>
  </si>
  <si>
    <t xml:space="preserve"> הוצאות</t>
  </si>
  <si>
    <t>%</t>
  </si>
  <si>
    <t>מימון</t>
  </si>
  <si>
    <t>חד פעמיות</t>
  </si>
  <si>
    <t>עומס מלוות</t>
  </si>
  <si>
    <t>עומס מלוות לפרעון בסוף השנה</t>
  </si>
  <si>
    <t>נתוני תקציב בלתי רגיל</t>
  </si>
  <si>
    <t>לתחילת השנה</t>
  </si>
  <si>
    <t>פרוייקטים שנסגרו</t>
  </si>
  <si>
    <t>יתרה  לסוף השנה</t>
  </si>
  <si>
    <t>עודף זמני נטו בתב"ר</t>
  </si>
  <si>
    <t>גרעון זמני נטו בתב"ר</t>
  </si>
  <si>
    <t>דוח גביה וחייבים - ארנונה</t>
  </si>
  <si>
    <t>דוח גביה וחייבים - מים</t>
  </si>
  <si>
    <t>יתרת חוב לתחילת השנה</t>
  </si>
  <si>
    <t>חיוב השנה</t>
  </si>
  <si>
    <t>הנחות ופטורים שנתנו</t>
  </si>
  <si>
    <t>סך לגביה</t>
  </si>
  <si>
    <t>גביה בשנת הדוח</t>
  </si>
  <si>
    <t>יתרת חוב לסוף השנה</t>
  </si>
  <si>
    <t>דוח עלויות שכר</t>
  </si>
  <si>
    <t>מצבת כח</t>
  </si>
  <si>
    <t xml:space="preserve">   שכר ממוצע שנתי</t>
  </si>
  <si>
    <t>אדם ממוצעת</t>
  </si>
  <si>
    <t>הוצאות שכר בפועל</t>
  </si>
  <si>
    <t>נבחרים</t>
  </si>
  <si>
    <t>המוצג מבוסס על נתוני טופס 66</t>
  </si>
  <si>
    <t>מספר תושבים שנה קודמת</t>
  </si>
  <si>
    <t>מספר תושבים *</t>
  </si>
  <si>
    <t>שטח שיפוט (דונם)</t>
  </si>
  <si>
    <t xml:space="preserve">מספר משקי בית </t>
  </si>
  <si>
    <t xml:space="preserve">דירוג סוציואקונומי </t>
  </si>
  <si>
    <t>נתוני ביצוע התקציב הרגיל</t>
  </si>
  <si>
    <t xml:space="preserve">הכנסות עצמיות </t>
  </si>
  <si>
    <t>השתת' משרד החינוך</t>
  </si>
  <si>
    <t xml:space="preserve">השתת' משרד הרווחה </t>
  </si>
  <si>
    <t>השתת' משרדי ממשלה אחרים</t>
  </si>
  <si>
    <t>יחס גביה לחיוב השנתי נטו</t>
  </si>
  <si>
    <t>גרעון מצטבר בתקציב הרגיל</t>
  </si>
  <si>
    <t>גרעונות זמניים נטו בתב"ר</t>
  </si>
  <si>
    <t>פעולות כלליות</t>
  </si>
  <si>
    <t>שכר חינוך</t>
  </si>
  <si>
    <t>פעולות חינוך</t>
  </si>
  <si>
    <t>קרן לעבודות פיתוח ואחרות</t>
  </si>
  <si>
    <t>שכר רווחה</t>
  </si>
  <si>
    <t>פעולות רווחה</t>
  </si>
  <si>
    <t xml:space="preserve">פרעון מלוות </t>
  </si>
  <si>
    <t>עומס מלוות לסוף שנה</t>
  </si>
  <si>
    <t>97 מפעל הביוב (כולל פרעון מלוות)</t>
  </si>
  <si>
    <t>החזר בגין השתתפות בהוצאות</t>
  </si>
  <si>
    <t>העברה להקטנת גרעון מצטבר</t>
  </si>
  <si>
    <t>העברה מקרנות פיתוח להקטנת גרעון מצטבר</t>
  </si>
  <si>
    <t>יש להקליד סכום</t>
  </si>
  <si>
    <t>העברה מקרנות פיתוח</t>
  </si>
  <si>
    <t>בדוח רואי החשבון נרשמה הסתייגות ביחס לגרעון המצטבר</t>
  </si>
  <si>
    <t>בדוח רואי החשבון נרשמה הסתייגות ביחס לגרעון השוטף ולגרעון המצטבר</t>
  </si>
  <si>
    <t>המחאות לפרעון</t>
  </si>
  <si>
    <t>שטר הון</t>
  </si>
  <si>
    <t>הון מניות</t>
  </si>
  <si>
    <t>סה"כ השתתפויות ותרומות - תקציב</t>
  </si>
  <si>
    <t>סה"כ השתתפויות ותרומות - ביצוע</t>
  </si>
  <si>
    <r>
      <t>כספי הקרנות מיועדים ל</t>
    </r>
    <r>
      <rPr>
        <sz val="10"/>
        <rFont val="Arial"/>
        <family val="2"/>
      </rPr>
      <t>מימון תקציבים בלתי רגילים, בהתאם לאישורים של מועצת הרשות</t>
    </r>
    <r>
      <rPr>
        <sz val="10"/>
        <rFont val="Arial"/>
        <family val="2"/>
      </rPr>
      <t xml:space="preserve"> ומשרד הפנים.</t>
    </r>
  </si>
  <si>
    <t>סכום הסטיה אשר יוצג בנספחים 7,8,9:</t>
  </si>
  <si>
    <t>* טופס למילוי. (לקבלת הסבר על הטופס יש להעביר את הסמן על שם הטופס)</t>
  </si>
  <si>
    <t>הערה: פעולות גזור, העתק והדבק של Excel חסומות בעת עבודה ביישום הדוח הכספי.</t>
  </si>
  <si>
    <r>
      <t xml:space="preserve">לצורך הפעלתן מחדש בקבצי Excel אחרים, יש לסגור את היישום </t>
    </r>
    <r>
      <rPr>
        <u/>
        <sz val="10"/>
        <rFont val="Arial"/>
        <family val="2"/>
      </rPr>
      <t>ואת Excel</t>
    </r>
    <r>
      <rPr>
        <sz val="10"/>
        <rFont val="Arial"/>
        <family val="2"/>
      </rPr>
      <t xml:space="preserve"> ולפתוח את Excel מחדש.</t>
    </r>
  </si>
  <si>
    <t>מקרא והנחיות כלליות</t>
  </si>
  <si>
    <t>(2) הוצאות מחלקת הנדסה.</t>
  </si>
  <si>
    <t>ניירות ערך סחירים מוצגים לפי שווי הבורסה לתאריך הדוח הכספי.</t>
  </si>
  <si>
    <t>ביאור 5 - קרן לעבודות פיתוח</t>
  </si>
  <si>
    <t>ביאור 7 - נתוני משרד החינוך בתקציב הרגיל</t>
  </si>
  <si>
    <t>% הגרעון השוטף  מההכנסה</t>
  </si>
  <si>
    <t>% הגרעון הנצבר מההכנסה</t>
  </si>
  <si>
    <t>% עומס המלוות מההכנסה</t>
  </si>
  <si>
    <t>% סך ההתחייבויות מההכנסה</t>
  </si>
  <si>
    <t>הנחות ופטורים שניתנו</t>
  </si>
  <si>
    <t>הוצאה ממוצעת לנפש בש"ח</t>
  </si>
  <si>
    <t>מספר משרות ממוצע</t>
  </si>
  <si>
    <t>נתוני ביצוע  התקציב הבלתי רגיל</t>
  </si>
  <si>
    <t>עודף (גרעון) זמני לתחילת השנה</t>
  </si>
  <si>
    <t>ממוצע ארנונה למגורים למ"ר</t>
  </si>
  <si>
    <t>תקבולים במהלך השנה</t>
  </si>
  <si>
    <t>תשלומים במהלך השנה</t>
  </si>
  <si>
    <t>עודף (גרעון) זמני לסוף השנה</t>
  </si>
  <si>
    <t>הפרש</t>
  </si>
  <si>
    <t>סטיה</t>
  </si>
  <si>
    <t xml:space="preserve">אלפי ש"ח
</t>
  </si>
  <si>
    <t>תקבולים:</t>
  </si>
  <si>
    <t>12 אגרות והיטלים</t>
  </si>
  <si>
    <t>13 הטלים</t>
  </si>
  <si>
    <t>15 השתת' כללית של מוסדות</t>
  </si>
  <si>
    <t>25 חגיגות , מבצעים וארועים</t>
  </si>
  <si>
    <t>36 קליטת עליה</t>
  </si>
  <si>
    <t>5 תקבולים בלתי רגילים</t>
  </si>
  <si>
    <t>תשלומים:</t>
  </si>
  <si>
    <t>64 פרעון מלוות</t>
  </si>
  <si>
    <t>75 חגיגות , מבצעים וארועים</t>
  </si>
  <si>
    <t xml:space="preserve">85 דת </t>
  </si>
  <si>
    <t>86 קליטת עליה</t>
  </si>
  <si>
    <t>97 מפעל הביוב</t>
  </si>
  <si>
    <t>99 תשלומים לא רגילים</t>
  </si>
  <si>
    <t>תקין</t>
  </si>
  <si>
    <t xml:space="preserve"> הקודמת</t>
  </si>
  <si>
    <t>לא רלוונטי</t>
  </si>
  <si>
    <t>בדיקות הצלבה</t>
  </si>
  <si>
    <t>נתונים להשוואה</t>
  </si>
  <si>
    <t>תוצאת הבדיקה</t>
  </si>
  <si>
    <t>נתון א</t>
  </si>
  <si>
    <t>נתון ב</t>
  </si>
  <si>
    <t>גליון</t>
  </si>
  <si>
    <t>סעיף</t>
  </si>
  <si>
    <t>שנה</t>
  </si>
  <si>
    <t>סכום</t>
  </si>
  <si>
    <t>לא תקין</t>
  </si>
  <si>
    <t>טופס 1 אקטיב</t>
  </si>
  <si>
    <t>השקעות לכיסוי קרן לעבודות פיתוח ולעדפים זמניים בתקציבים בלתי רגילים</t>
  </si>
  <si>
    <t>טופס 1 פאסיב</t>
  </si>
  <si>
    <t>קרנות פיתוח ועדפים זמניים בתב"רים נטו</t>
  </si>
  <si>
    <t xml:space="preserve">קרנות פיתוח ועדפים זמניים בתב"רים נטו </t>
  </si>
  <si>
    <t xml:space="preserve">ביאור 3 </t>
  </si>
  <si>
    <t>סה"כ מלוות שנתקבלו</t>
  </si>
  <si>
    <t xml:space="preserve">אחזקה ומנהל (למעט הוצאות מימון) </t>
  </si>
  <si>
    <t>הוצאות תפעול</t>
  </si>
  <si>
    <t xml:space="preserve">קרנות מתוקצבות </t>
  </si>
  <si>
    <t xml:space="preserve">סה"כ מאזן </t>
  </si>
  <si>
    <t>סה"כ מאזן</t>
  </si>
  <si>
    <t>נספח 2 לטופס 1</t>
  </si>
  <si>
    <t>ביאור 5</t>
  </si>
  <si>
    <t>סה"כ יתרת פתיחה</t>
  </si>
  <si>
    <t>טופס 2</t>
  </si>
  <si>
    <t>תקבולים- מיסים (11) - ביצוע</t>
  </si>
  <si>
    <t>סה"כ גביות ארנונה כללית</t>
  </si>
  <si>
    <t>ביאור 4</t>
  </si>
  <si>
    <t>הנחות במיסים - ביצוע</t>
  </si>
  <si>
    <t>תקבולים - חינוך  (31) - ביצוע</t>
  </si>
  <si>
    <t>תשלומים - חינוך  (81) - ביצוע</t>
  </si>
  <si>
    <t>תקבולים - רווחה  (34) - ביצוע</t>
  </si>
  <si>
    <t>תשלומים - רווחה  (84) - ביצוע</t>
  </si>
  <si>
    <t>תקבולים - מים (41) - ביצוע</t>
  </si>
  <si>
    <t>מענקים כלליים (19) - תקציב</t>
  </si>
  <si>
    <t>נספח 1 לטופס 2</t>
  </si>
  <si>
    <t>מענק כללי - תקציב</t>
  </si>
  <si>
    <t>מענקים כלליים (19) - ביצוע</t>
  </si>
  <si>
    <t>מענק כללי - ביצוע</t>
  </si>
  <si>
    <t>מפעל המים (41)  - ביצוע</t>
  </si>
  <si>
    <t>מפעל הביוב (47) - ביצוע</t>
  </si>
  <si>
    <t>תקבולים שנצברו לתחילת השנה</t>
  </si>
  <si>
    <t>תקבולים שנצברו לסוף השנה</t>
  </si>
  <si>
    <t>תשלומים שנצברו לתחילת השנה</t>
  </si>
  <si>
    <t>תשלומים שנצברו לסוף השנה</t>
  </si>
  <si>
    <t>גרעונות ועודפי מימון זמניים</t>
  </si>
  <si>
    <t>גב' עפרה ברכה</t>
  </si>
  <si>
    <t>נספח 1 לטופס 3</t>
  </si>
  <si>
    <t>סה"כ הכנסות נטו</t>
  </si>
  <si>
    <t>סה"כ הוצאות נטו</t>
  </si>
  <si>
    <t>סה"כ הכנסות נטו לסוף השנה</t>
  </si>
  <si>
    <t>סה"כ הוצאות נטו לסוף השנה</t>
  </si>
  <si>
    <t>סה"כ עודף/גרעון נטו</t>
  </si>
  <si>
    <t>פתיח</t>
  </si>
  <si>
    <t>תוכן ענינים להדפסה</t>
  </si>
  <si>
    <t>גרעונות סופיים בתב"רים שנסתיימו</t>
  </si>
  <si>
    <t>סה"כ תב"רים שנסתיימו בשנת הדוח</t>
  </si>
  <si>
    <t>סה"כ העברה מתב"רים</t>
  </si>
  <si>
    <t>נספחים</t>
  </si>
  <si>
    <t>יתרה לתחילת השנה - ארנונה כללית</t>
  </si>
  <si>
    <t>נתונים לנספח 2 לטופס 1</t>
  </si>
  <si>
    <t>סה"כ גבייה וחייבים שנה קודמת - ארנונה</t>
  </si>
  <si>
    <t>יתרה לתחילת השנה - אגרת מים</t>
  </si>
  <si>
    <t>סה"כ גבייה וחייבים שנה קודמת - מים</t>
  </si>
  <si>
    <t>סה"כ גביות הטלי השבחה</t>
  </si>
  <si>
    <t>תקבולים בקרן הטל השבחה</t>
  </si>
  <si>
    <t>נספח 3 לטופס 1</t>
  </si>
  <si>
    <t>יתרת המלוות (קרן) שנתקבלו למעשה ושנשארו לפרעון בתחילת השנה</t>
  </si>
  <si>
    <t>סה"כ תחזית פרעון המלוות (קרן והצמדה)</t>
  </si>
  <si>
    <t>סה"כ הכנסות: תקציב מקורי + שינויים</t>
  </si>
  <si>
    <t>סה"כ תקבולים - תקציב</t>
  </si>
  <si>
    <t>סה"כ הוצאות: תקציב מקורי + שינויים</t>
  </si>
  <si>
    <t>סה"כ ,תשלומים - תקציב</t>
  </si>
  <si>
    <t>סה"כ הכנסות  לפי מקורות - תקציב</t>
  </si>
  <si>
    <t>סה"כ הכנסות  לפי מקורות - ביצוע</t>
  </si>
  <si>
    <t>סה"כ תקבולים - ביצוע</t>
  </si>
  <si>
    <t>ביוב</t>
  </si>
  <si>
    <t>אחרות</t>
  </si>
  <si>
    <t>סכום פרעון כלל המלוות</t>
  </si>
  <si>
    <t>נספח 1 לטופס 2 ג</t>
  </si>
  <si>
    <t>סה"כ הוצאות לפי סוגים - תקציב</t>
  </si>
  <si>
    <t>סה"כ תשלומים - תקציב</t>
  </si>
  <si>
    <t>סה"כ הוצאות לפי סוגים - ביצוע</t>
  </si>
  <si>
    <t>סה"כ תשלומים - ביצוע</t>
  </si>
  <si>
    <t>משכורת ושכר - ביצוע</t>
  </si>
  <si>
    <t>סה"כ הוצאות שכר בפועל (דוח 66)</t>
  </si>
  <si>
    <t>נספח 4 לטופס 2</t>
  </si>
  <si>
    <t>סה"כ שכר (התפלגות מרכיבי השכר)</t>
  </si>
  <si>
    <t>סה"כ שכר (תפלגות מרכיבי השכר)</t>
  </si>
  <si>
    <t>נתונים לנספח 1 לטופס 2</t>
  </si>
  <si>
    <t>הנחות מארנונה - תקציב</t>
  </si>
  <si>
    <t>הנחות מארנונה - ביצוע</t>
  </si>
  <si>
    <t>סכומי תב"רים סגורים</t>
  </si>
  <si>
    <r>
      <t>סכומי תב"רים סגורים - י</t>
    </r>
    <r>
      <rPr>
        <b/>
        <sz val="10"/>
        <color indexed="18"/>
        <rFont val="Arial"/>
        <family val="2"/>
      </rPr>
      <t>ש להקליד סכום</t>
    </r>
  </si>
  <si>
    <t>העברה ל/מ חובות מסופקים ארנונה</t>
  </si>
  <si>
    <t>פטורים שנה שוטפת</t>
  </si>
  <si>
    <t>פטורים שנים קודמות</t>
  </si>
  <si>
    <t>סטיה מתקציב: עודפים מינוס גרעונות  (61)</t>
  </si>
  <si>
    <t>עודף (גרעון) נטו (61)</t>
  </si>
  <si>
    <t>סטיה מתקציב: עודפים מינוס גרעונות  (62)</t>
  </si>
  <si>
    <t>חובות מסופקים וחובות למחיקה</t>
  </si>
  <si>
    <t>עודף (גרעון) נטו (62)</t>
  </si>
  <si>
    <t>סטיה מתקציב: עודפים מינוס גרעונות  (63)</t>
  </si>
  <si>
    <t>עודף (גרעון) נטו (63)</t>
  </si>
  <si>
    <t>סטיה מתקציב: עודפים מינוס גרעונות  (64)</t>
  </si>
  <si>
    <t>עודף (גרעון) נטו (64)</t>
  </si>
  <si>
    <t>סטיה מתקציב: עודפים מינוס גרעונות  (71)</t>
  </si>
  <si>
    <t>עודף (גרעון) נטו (71)</t>
  </si>
  <si>
    <t>סטיה מתקציב: עודפים מינוס גרעונות  (72)</t>
  </si>
  <si>
    <t>עודף (גרעון) נטו (72)</t>
  </si>
  <si>
    <t>סטיה מתקציב: עודפים מינוס גרעונות  (73)</t>
  </si>
  <si>
    <t>עודף (גרעון) נטו (73)</t>
  </si>
  <si>
    <t>סטיה מתקציב: עודפים מינוס גרעונות  (74)</t>
  </si>
  <si>
    <t>עודף (גרעון) נטו (74)</t>
  </si>
  <si>
    <t>סטיה מתקציב: עודפים מינוס גרעונות  (75)</t>
  </si>
  <si>
    <t>עודף (גרעון) נטו (75)</t>
  </si>
  <si>
    <t>סטיה מתקציב: עודפים מינוס גרעונות  (76)</t>
  </si>
  <si>
    <t>משכורות ושכר כללי</t>
  </si>
  <si>
    <t xml:space="preserve">חד פעמיות </t>
  </si>
  <si>
    <t>כלליות</t>
  </si>
  <si>
    <t>עודף (גרעון) נטו (76)</t>
  </si>
  <si>
    <t>חיוב בשנת החשבון - ארנונה אחרת</t>
  </si>
  <si>
    <t>סה"כ פטורים שחרורים והנחות ארנונה למגורים</t>
  </si>
  <si>
    <t>סה"כ פטורים שחרורים והנחות ארנונה אחרת</t>
  </si>
  <si>
    <t>בפועל  אלפי</t>
  </si>
  <si>
    <t>ש"ח (דוח 66)</t>
  </si>
  <si>
    <t>בפועל אלפי</t>
  </si>
  <si>
    <t>סטיה מתקציב: עודפים מינוס גרעונות  (77)</t>
  </si>
  <si>
    <t>עודף (גרעון) נטו (77)</t>
  </si>
  <si>
    <t>סטיה מתקציב: עודפים מינוס גרעונות  (78)</t>
  </si>
  <si>
    <t>עודף (גרעון) נטו (78)</t>
  </si>
  <si>
    <t>סטיה מתקציב: עודפים מינוס גרעונות  (79)</t>
  </si>
  <si>
    <t>עודף (גרעון) נטו (79)</t>
  </si>
  <si>
    <t>סטיה מתקציב: עודפים מינוס גרעונות  (81)</t>
  </si>
  <si>
    <t>עודף (גרעון) נטו (81)</t>
  </si>
  <si>
    <t>סטיה מתקציב: עודפים מינוס גרעונות  (82)</t>
  </si>
  <si>
    <t>עודף (גרעון) נטו (82)</t>
  </si>
  <si>
    <t>סטיה מתקציב: עודפים מינוס גרעונות  (83)</t>
  </si>
  <si>
    <t>עודף (גרעון) נטו (34)</t>
  </si>
  <si>
    <t>סטיה מתקציב: עודפים מינוס גרעונות  (84)</t>
  </si>
  <si>
    <t>עודף (גרעון) נטו (84)</t>
  </si>
  <si>
    <t>סטיה מתקציב: עודפים מינוס גרעונות  (85)</t>
  </si>
  <si>
    <t>עודף (גרעון) נטו (85)</t>
  </si>
  <si>
    <t>סטיה מתקציב: עודפים מינוס גרעונות  (86)</t>
  </si>
  <si>
    <t>עודף (גרעון) נטו (86)</t>
  </si>
  <si>
    <t>סטיה מתקציב: עודפים מינוס גרעונות  (87)</t>
  </si>
  <si>
    <t>עודף (גרעון) נטו (87)</t>
  </si>
  <si>
    <t>סטיה מתקציב: עודפים מינוס גרעונות  (91)</t>
  </si>
  <si>
    <t>עודף (גרעון) נטו (91)</t>
  </si>
  <si>
    <t>סטיה מתקציב: עודפים מינוס גרעונות  (92)</t>
  </si>
  <si>
    <t>עודף (גרעון) נטו (92)</t>
  </si>
  <si>
    <t>סטיה מתקציב: עודפים מינוס גרעונות  (93)</t>
  </si>
  <si>
    <t>עודף (גרעון) נטו (93)</t>
  </si>
  <si>
    <t>סטיה מתקציב: עודפים מינוס גרעונות  (94)</t>
  </si>
  <si>
    <t>עודף (גרעון) נטו (94)</t>
  </si>
  <si>
    <t>סטיה מתקציב: עודפים מינוס גרעונות  (95)</t>
  </si>
  <si>
    <t>עודף (גרעון) נטו (95)</t>
  </si>
  <si>
    <t>סטיה מתקציב: עודפים מינוס גרעונות  (96)</t>
  </si>
  <si>
    <t>עודף (גרעון) נטו (96)</t>
  </si>
  <si>
    <t>סטיה מתקציב: עודפים מינוס גרעונות  (97)</t>
  </si>
  <si>
    <t>עודף (גרעון) נטו (97)</t>
  </si>
  <si>
    <t>סטיה מתקציב: עודפים מינוס גרעונות  (98)</t>
  </si>
  <si>
    <t>עודף (גרעון) נטו (98)</t>
  </si>
  <si>
    <t>סטיה מתקציב: עודפים מינוס גרעונות  (99)</t>
  </si>
  <si>
    <t>עודף (גרעון) נטו (99)</t>
  </si>
  <si>
    <t>עודף (גרעון) נטו</t>
  </si>
  <si>
    <t>נתונים משותפים</t>
  </si>
  <si>
    <t>תעריפי מינימום לארנונה</t>
  </si>
  <si>
    <t>קרקע תפוסה</t>
  </si>
  <si>
    <t>למ"ר / לדונם</t>
  </si>
  <si>
    <t>נתונים פיננסיים</t>
  </si>
  <si>
    <t>מדד המחירים לצרכן (ממוצע בשנת 1993) בנקודות</t>
  </si>
  <si>
    <t>שעור עלית (ירידת) הדולר במהלך השנה באחוזים</t>
  </si>
  <si>
    <t>הוצאות בגין סיום יחסי עובד מעביד בכירים</t>
  </si>
  <si>
    <t>הוצאות בגין סיום יחסי עובד מעביד אחרים</t>
  </si>
  <si>
    <t>תאריך פרסום נתוני הלשכה המרכזית לסטטיסטיקה</t>
  </si>
  <si>
    <t>אישור התקציב על ידי משרד הפנים</t>
  </si>
  <si>
    <t>אישור התקציב על ידי המליאה</t>
  </si>
  <si>
    <t>דוח המבקרים</t>
  </si>
  <si>
    <t xml:space="preserve">נתוני עודף / גרעון בתקציב הרגיל </t>
  </si>
  <si>
    <t>ביאור 9 - התחייבויות בגין פנסיה צוברת, הפרשה לחופשה ופדיון ימי מחלה</t>
  </si>
  <si>
    <t>קרנות בלתי מתוקצבות</t>
  </si>
  <si>
    <t>קרן היטל השבחה</t>
  </si>
  <si>
    <t>סה"כ קרנות בלתי מתוקצבות</t>
  </si>
  <si>
    <t>עודף / גרעון בתקציב הרגיל</t>
  </si>
  <si>
    <t>עמודה זו מלאה כאשר הרשות נמצאת בעודף</t>
  </si>
  <si>
    <t>h</t>
  </si>
  <si>
    <t>עמודה זו מלאה כאשר הרשות נמצאת בגרעון</t>
  </si>
  <si>
    <t>תוצאת השנה (טופס 2)</t>
  </si>
  <si>
    <t>גרעונות סופיים בתברים שנסתיימו (שיש לגביהם אישור משרד הפנים לסגירתם לגרעון המצטבר)</t>
  </si>
  <si>
    <t>סה"כ עודף / גרעון</t>
  </si>
  <si>
    <t>החלטה לגבי צד המאזן שבו יוצגו הנתונים</t>
  </si>
  <si>
    <t>קביעת סימני הנתונים שיופיעו במאזן (בכל אחד משני הצדדים בו יופיעו הנתונים)</t>
  </si>
  <si>
    <t>סכומים להקטנת גרעונות (ערך מוחלט, לצורך חישובים)</t>
  </si>
  <si>
    <t>רשימת כותרות</t>
  </si>
  <si>
    <t>יתרת פתיחה:</t>
  </si>
  <si>
    <t>עודף לתחילת השנה</t>
  </si>
  <si>
    <t>גרעון לתחילת השנה</t>
  </si>
  <si>
    <t>עודף (גרעון) לתחילת השנה</t>
  </si>
  <si>
    <t>גרעון (עודף) לתחילת השנה</t>
  </si>
  <si>
    <t>תוצאת השנה:</t>
  </si>
  <si>
    <t>עודף בשנת הדוח</t>
  </si>
  <si>
    <t>עודף בשתי השנים - אקטיב ופאסיב</t>
  </si>
  <si>
    <t>גרעון בשנת הדוח</t>
  </si>
  <si>
    <t>גרעון בשתי השנים - אקטיב ופאסיב</t>
  </si>
  <si>
    <t>(עודף) גרעון בשנת הדוח</t>
  </si>
  <si>
    <t>השנה עודף, שנה קודמת גרעון , שתי השנים באקטיב</t>
  </si>
  <si>
    <t>גרעון (עודף) בשנת הדוח</t>
  </si>
  <si>
    <t>שיעור עלית (ירידת) הדולר במהלך השנה</t>
  </si>
  <si>
    <t>הדוחות הכספיים אינם כוללים דוח על תזרימי המזומנים מאחר שדוח זה אינו נדרש על פי ההנחיות הנ"ל.</t>
  </si>
  <si>
    <t>שיעור עלית (ירידת) המדד במהלך השנה</t>
  </si>
  <si>
    <t>דמי ניהול לעובדים המועסקים בפנסיה תקציבית</t>
  </si>
  <si>
    <t>מצבת משרות כ"א ממוצעת סה"כ כללי (בתקציב הרגיל בלבד)</t>
  </si>
  <si>
    <t>השנה גרעון, שנה קודמת עודף , שתי השנים באקטיב</t>
  </si>
  <si>
    <t>עודף (גרעון) בשנת הדוח</t>
  </si>
  <si>
    <t>השנה עודף, שנה קודמת גרעון , שתי השנים בפאסיב</t>
  </si>
  <si>
    <t>(גרעון) עודף בשנת הדוח</t>
  </si>
  <si>
    <t>השנה גרעון, שנה קודמת עודף , שתי השנים בפאסיב</t>
  </si>
  <si>
    <t>פירוט תקבולים לתב"רים בשנת הדוח</t>
  </si>
  <si>
    <t>מלוות</t>
  </si>
  <si>
    <t>מלוות מהאוצר</t>
  </si>
  <si>
    <t>מלוות מבנקים</t>
  </si>
  <si>
    <t>מלוות מאחרים</t>
  </si>
  <si>
    <t>תקבולים ממשרדי ממשלה</t>
  </si>
  <si>
    <t>משרד החנוך</t>
  </si>
  <si>
    <t>סוג הנכס</t>
  </si>
  <si>
    <t>שטחים באלפי מ"ר</t>
  </si>
  <si>
    <t>חיוב משוקלל למ"ר בש"ח</t>
  </si>
  <si>
    <t>סה"כ חיוב באלפי ש"ח</t>
  </si>
  <si>
    <t>השינוי ב - %</t>
  </si>
  <si>
    <t>בחיוב משוקלל למ"ר</t>
  </si>
  <si>
    <t>בסה"כ חיוב</t>
  </si>
  <si>
    <t>גידול (קיטון) שטחים ב - %</t>
  </si>
  <si>
    <t>משרד הרווחה</t>
  </si>
  <si>
    <t>משרד השיכון</t>
  </si>
  <si>
    <t>משרד הבטחון</t>
  </si>
  <si>
    <t>המשרד לאיכות הסביבה</t>
  </si>
  <si>
    <t>משרדים אחרים</t>
  </si>
  <si>
    <t>סה"כ תקבולים ממשרדי ממשלה</t>
  </si>
  <si>
    <t>העברה מקרנות הרשות</t>
  </si>
  <si>
    <t>מקורות עצמיים אחרים</t>
  </si>
  <si>
    <t>סה"כ מקורות עצמיים ואחרים</t>
  </si>
  <si>
    <t>העברת מלוות מהתקציב הבלתי רגיל</t>
  </si>
  <si>
    <t>העברת מלוות לתקציב הרגיל</t>
  </si>
  <si>
    <t>העברת מלוות להקטנת גרעון</t>
  </si>
  <si>
    <t>סה"כ הוצאות אחרות בתב"רים בשנת הדוח</t>
  </si>
  <si>
    <t>ארנונה</t>
  </si>
  <si>
    <t>גביה בשנת הדוח (שוטף + פיגורים)</t>
  </si>
  <si>
    <t>חיוב שוטף (ללא הצמדה)</t>
  </si>
  <si>
    <t>חיוב הצמדה</t>
  </si>
  <si>
    <t>גביה שוטפת (ללא פיגורים)</t>
  </si>
  <si>
    <t>גביה מפיגורים</t>
  </si>
  <si>
    <t>חישוב ממוצע ארנונה למגורים למ"ר</t>
  </si>
  <si>
    <t>ארנונה כללית - בניכוי הנחות</t>
  </si>
  <si>
    <t>יתר עצמיות</t>
  </si>
  <si>
    <t>הנחות מארנונה</t>
  </si>
  <si>
    <t>סה"כ הכנסות עצמיות</t>
  </si>
  <si>
    <t>סה"כ הכנסות ממשרדי ממשלה</t>
  </si>
  <si>
    <t>רכישות מים</t>
  </si>
  <si>
    <t>העברות (910-919)</t>
  </si>
  <si>
    <t>סה"כ הוצאות כלליות ואחרות</t>
  </si>
  <si>
    <t>סה"כ השתתפויות ותרומות</t>
  </si>
  <si>
    <t>סה"כ הוצאות חד פעמיות</t>
  </si>
  <si>
    <t>פרעון מלוות ביוב</t>
  </si>
  <si>
    <t>פרעון מלוות אחרים</t>
  </si>
  <si>
    <t>סה"כ פרעון מלוות</t>
  </si>
  <si>
    <t>נתוני כוח אדם ושכר</t>
  </si>
  <si>
    <t>לפי דוח 66</t>
  </si>
  <si>
    <t>סה"כ תקציב שכר</t>
  </si>
  <si>
    <t>שכר מוניציפלי</t>
  </si>
  <si>
    <t>הגדרות כלליות</t>
  </si>
  <si>
    <t>שם גוף מבוקר</t>
  </si>
  <si>
    <t>מספר , בן ארבע ספרות (פורמט YYYY)</t>
  </si>
  <si>
    <t>תחילת שנה</t>
  </si>
  <si>
    <t>פורמט  DD.MM</t>
  </si>
  <si>
    <t>סוף שנה</t>
  </si>
  <si>
    <t>כללי</t>
  </si>
  <si>
    <t>דוחות</t>
  </si>
  <si>
    <t>מקרא</t>
  </si>
  <si>
    <t>דוח לתושב</t>
  </si>
  <si>
    <t>דוח נתונים כספיים מבוקרים</t>
  </si>
  <si>
    <t>דוח ביקורת  מפורט -  נספח ה</t>
  </si>
  <si>
    <t>ביאורים 1, 2 א-ב</t>
  </si>
  <si>
    <t>דוח ביקורת  מפורט -  נספח ו</t>
  </si>
  <si>
    <t>ביאור 2 ג-ז</t>
  </si>
  <si>
    <t>טופס 4</t>
  </si>
  <si>
    <t>דוח ביקורת  מפורט -  נספח ז</t>
  </si>
  <si>
    <t>ביאור 3 המשך</t>
  </si>
  <si>
    <t>סמל</t>
  </si>
  <si>
    <t>תיאור</t>
  </si>
  <si>
    <t>ניתן להקלדה (כן/לא)</t>
  </si>
  <si>
    <t>שטח הנתונים</t>
  </si>
  <si>
    <t>לא</t>
  </si>
  <si>
    <t>תא המיועד להקלדת נתונים</t>
  </si>
  <si>
    <t>כן</t>
  </si>
  <si>
    <t>סכום אוטומטי של טור או שורה</t>
  </si>
  <si>
    <t>תא מחושב אוטומטית</t>
  </si>
  <si>
    <t>טקסט חופשי</t>
  </si>
  <si>
    <t xml:space="preserve"> * בכותרת טור</t>
  </si>
  <si>
    <t>עמודת טקסט חופשי לסימון הפניה להתאמה / ביאור</t>
  </si>
  <si>
    <t>סה"כ הוצאות מים</t>
  </si>
  <si>
    <t>תפעוליות (סעיפי 7XX)</t>
  </si>
  <si>
    <t>תפעול מוניציפלי</t>
  </si>
  <si>
    <t>סה"כ תפעוליות</t>
  </si>
  <si>
    <t>תפעול חינוך</t>
  </si>
  <si>
    <t>תפעול רווחה</t>
  </si>
  <si>
    <t>השתתפויות ותרומות (סעיפי 8XX)</t>
  </si>
  <si>
    <t>השתתפויות ותרומות חינוך</t>
  </si>
  <si>
    <t>השתתפויות ותרומות רווחה</t>
  </si>
  <si>
    <t>פרעון מלוות (סעיפי 69X)</t>
  </si>
  <si>
    <t>הוצאות חד פעמיות ללא תקבולים לכיסוי גרעון</t>
  </si>
  <si>
    <t>הוצאות אחזקה ומנהל</t>
  </si>
  <si>
    <t>העברה מתקציב רגיל לכיסוי גרעון</t>
  </si>
  <si>
    <t>מענקים שנתקבלו להקטנת גרעונות</t>
  </si>
  <si>
    <t>מכירת מים</t>
  </si>
  <si>
    <t>יתר עצמיות אחר (ללא פרקים 51-59)</t>
  </si>
  <si>
    <t>חד פעמיות ומיוחדות (פרקים 51-59)</t>
  </si>
  <si>
    <t>הכנסות עצמיות - נתוני הנה"ח (סעיפי 100-899 למעט סעיף 780)</t>
  </si>
  <si>
    <t>כלליות (400-699) למעט מימון 63 ופרעון מלוות</t>
  </si>
  <si>
    <t>הוצאות חד פעמיות (סעיפי 9XX - 99X)</t>
  </si>
  <si>
    <t>אחזקה ומנהל למעט מימון</t>
  </si>
  <si>
    <t>התשואה מהשקעות בקרן דמי ניהול פנסיה תקציבית נזקפה לקרן זו.</t>
  </si>
  <si>
    <t>הוצאות פרק 91</t>
  </si>
  <si>
    <t>הוצאות פרק 97</t>
  </si>
  <si>
    <t>הוצאות ביוב בפרק 97 צריכות להיות גדולות או שוות לפרעון מלוות ביוב בנספח 3 לטופס 1</t>
  </si>
  <si>
    <t>הוצאות מים בפרק 91 צריכות להיות גדולות או שוות לפרעון מלוות מים בנספח 3 לטופס 1</t>
  </si>
  <si>
    <t>סה"כ השקעות במימון קרנות בלתי מתוקצבות</t>
  </si>
  <si>
    <t>3 (י)</t>
  </si>
  <si>
    <t>3 (יא)</t>
  </si>
  <si>
    <t>יב.</t>
  </si>
  <si>
    <t>רווח (הפסד) ביעודה השנה</t>
  </si>
  <si>
    <t>הפקדות במהלך השנה</t>
  </si>
  <si>
    <t>משיכות במהלך השנה</t>
  </si>
  <si>
    <t>ניכוי מהעובדים במהלך השנה</t>
  </si>
  <si>
    <t>רווח (הפסד) בייעודה השנה</t>
  </si>
  <si>
    <t>סה"כ קרנות בלתי מתוקצבות אחרות</t>
  </si>
  <si>
    <t>טופס 1</t>
  </si>
  <si>
    <r>
      <t>סכום הסתייגות בדוח המבקרים - י</t>
    </r>
    <r>
      <rPr>
        <b/>
        <sz val="10"/>
        <color indexed="18"/>
        <rFont val="Arial"/>
        <family val="2"/>
      </rPr>
      <t>ש להקליד סכום</t>
    </r>
  </si>
  <si>
    <t>גרעון (עודף) מצטבר לסוף השנה</t>
  </si>
  <si>
    <t>תקציב הרשות</t>
  </si>
  <si>
    <t>הגרעון המצטבר בתקציב הרגיל והגרעון הסופי בתב"רים הינו בשיעור העולה על 30% מתקציב הרשות. יש להפנות את תשומת הלב בדוח רואי החשבון הבמקרים.</t>
  </si>
  <si>
    <t>חובות מסופקים</t>
  </si>
  <si>
    <t>סה"כ חייבים</t>
  </si>
  <si>
    <t>החובות המסופקים גבוהים מ50% מכלל החייבים. יש להפנות את תשומת הלב בדוח רואי החשבון המבקרים.</t>
  </si>
  <si>
    <t>חיוב (זיכוי) נוסף</t>
  </si>
  <si>
    <t>חיוב (זיכוי) נוסף בתוספת תיקון י"פ</t>
  </si>
  <si>
    <t>אין התאמה בין חיוב (זיכוי נוסף) בפירוט ד לבין חיוב (זיכוי) נוסף בנספח 2 לטופס 1</t>
  </si>
  <si>
    <t>שכר ממוצע למשרה עם תקן-חינוך</t>
  </si>
  <si>
    <t>שכר ממוצע למשרה עם תקן-רווחה</t>
  </si>
  <si>
    <t>שכר ממוצע למשרה עם תקן-בכירים</t>
  </si>
  <si>
    <t>שכר ממוצע למשרה עם תקן-יתר משרות</t>
  </si>
  <si>
    <t>שכר ממוצע למשרה ללא תקן-חינוך</t>
  </si>
  <si>
    <t>שכר ממוצע למשרה ללא תקן-רווחה</t>
  </si>
  <si>
    <t>שכר ממוצע למשרה ללא תקן-בכירים</t>
  </si>
  <si>
    <t>שכר ממוצע למשרה ללא תקן-יתר משרות</t>
  </si>
  <si>
    <t>אין התאמה בין שכר ממוצע למשרה עם תקן וללא תקן</t>
  </si>
  <si>
    <t>הוצאות שכר לפי דוח 66</t>
  </si>
  <si>
    <t>מצבת משרות כח אדם ממוצעת-חינוך</t>
  </si>
  <si>
    <t>מצבת משרות כח אדם ממוצעת-רווחה</t>
  </si>
  <si>
    <t>מצבת משרות כח אדם ממוצעת-נבחרים</t>
  </si>
  <si>
    <t>מצבת משרות כח אדם ממוצעת-פנסיונרים</t>
  </si>
  <si>
    <t>מס' משרות דוח  66-חינוך</t>
  </si>
  <si>
    <t>מס' משרות דוח  66-רווחה</t>
  </si>
  <si>
    <t>מס' משרות דוח  66-נבחרים</t>
  </si>
  <si>
    <t>מס' משרות דוח  66-גימלאים</t>
  </si>
  <si>
    <t>אין התאמה בין מצבת משרות ממוצעת בפרק חינוך בנספח 4 לטופס 2 חלק א' לבין נספח 4 לטופס 2 חלק ב'.</t>
  </si>
  <si>
    <t>אין התאמה בין מצבת משרות ממוצעת בפרק רווחה בנספח 4 לטופס 2 חלק א' לבין נספח 4 לטופס 2 חלק ב'.</t>
  </si>
  <si>
    <t>אין התאמה בין מצבת משרות ממוצעת נבחרים בנספח 4 לטופס 2 חלק א' לבין נספח 4 לטופס 2 חלק ב'.</t>
  </si>
  <si>
    <t>אין התאמה בין מצבת משרות ממוצעת גמלאים בנספח 4 לטופס 2 חלק א' לבין נספח 4 לטופס 2 חלק ב'.</t>
  </si>
  <si>
    <t>הוצאות פיצויים</t>
  </si>
  <si>
    <t>אין התאמה בין עלויות השכר בנספח 4 לטופס 2 חלק א לבין עלויות השכר בנספח 4 לטופס 2 חלק ב</t>
  </si>
  <si>
    <t>אין התאמה בין הוצאות הפיצויים בנספח 4 לטופס 2 חלק א לבין הוצאות הפיצויים בנספח 5 לטופס 2.</t>
  </si>
  <si>
    <t>הנחות במיסים-ביצוע</t>
  </si>
  <si>
    <t>מחיקת חובות</t>
  </si>
  <si>
    <t>הנחות מיסים מראש</t>
  </si>
  <si>
    <t>התאמה לא תקינה</t>
  </si>
  <si>
    <t>הנחות מיסים בביאור 4 לא מתאימה להנחות מיסים בנספח 2 לטופס 1 פירוט ב'</t>
  </si>
  <si>
    <t>הוצאות שכר לפי דוח 66-חינוך</t>
  </si>
  <si>
    <t>עלויות שכר 66-חינוך</t>
  </si>
  <si>
    <t>אין התאמה בין הוצאות שכר חינוך בנספח 4 לטופס 2 חלק א לבין הוצאות השכר בנספח 4 לטופס 2 חלק ב.</t>
  </si>
  <si>
    <t>אין התאמה בין הוצאות שכר רווחה בנספח 4 לטופס 2 חלק א לבין הוצאות השכר בנספח 4 לטופס 2 חלק ב.</t>
  </si>
  <si>
    <t>עלויות שכר 66-רווחה</t>
  </si>
  <si>
    <t>הוצאות שכר לפי דוח 66-נבחרים</t>
  </si>
  <si>
    <t>הוצאות שכר לפי דוח 66-פנסיונרים</t>
  </si>
  <si>
    <t>עלויות שכר 66-נבחרים</t>
  </si>
  <si>
    <t>עלויות שכר 66-גימלאים</t>
  </si>
  <si>
    <t>אין התאמה בין הוצאות שכר נבחרים בנספח 4 לטופס 2 חלק א לבין הוצאות השכר בנספח 4 לטופס 2 חלק ב.</t>
  </si>
  <si>
    <t>אין התאמה בין הוצאות שכר גימלאים בנספח 4 לטופס 2 חלק א לבין הוצאות השכר בנספח 4 לטופס 2 חלק ב.</t>
  </si>
  <si>
    <t>התאמות</t>
  </si>
  <si>
    <t>תקציב מאושר</t>
  </si>
  <si>
    <t>ביצוע מצטבר הוצאות</t>
  </si>
  <si>
    <t>סטיה מתקציב-עודפים-עקב הוצאות מתחת</t>
  </si>
  <si>
    <t>סטיה מתקציב-גרעונות-עקב הוצאות מעל</t>
  </si>
  <si>
    <t>ביצוע מצטבר הכנסות</t>
  </si>
  <si>
    <t>סטיה מתקציב-עודפים-עקב הכנסות מעל</t>
  </si>
  <si>
    <t>סטיה מתקציב-גרעונות-עקב הכנסות מתחת</t>
  </si>
  <si>
    <t>אין התאמה בין התקציב לבין ההוצאות המצטברות בתוספת הסטיה מהתקציב עקב הוצאות מעל ומתחת</t>
  </si>
  <si>
    <t>אין התאמה בין התקציב לבין ההכנסות המצטברות בתוספת הסטיה מהתקציב עקב הכנסות מעל ומתחת</t>
  </si>
  <si>
    <t>אחוז גביה מהפיגורים (*)</t>
  </si>
  <si>
    <t>אחוז גביה מהשוטף (*)</t>
  </si>
  <si>
    <t>יחס הגביה לחוב הכולל (*)</t>
  </si>
  <si>
    <t>סה"כ יתרות לסוף שנה כולל חובות מסופקים</t>
  </si>
  <si>
    <t>(*) השיעורים מחושבים ללא חובות מסופקים וחובות למחיקה.</t>
  </si>
  <si>
    <t>סה"כ יתרות לסוף שנה כולל חובות מסופקים וחובות למחיקה</t>
  </si>
  <si>
    <t>יחס גביה בשנת הדוח ללא חובות מסופקים:</t>
  </si>
  <si>
    <t>נתונים בדבר עדכון התקציב</t>
  </si>
  <si>
    <t>בתא L8 יש להגדיר את סכום הסטיה אשר יוצג בנספחים 7,8,9:</t>
  </si>
  <si>
    <t>רשות עצמאית</t>
  </si>
  <si>
    <t>רשות אשר אינה עצמאית</t>
  </si>
  <si>
    <t>שם</t>
  </si>
  <si>
    <t>סוג</t>
  </si>
  <si>
    <t>אאא - רשות לדוגמא</t>
  </si>
  <si>
    <t xml:space="preserve"> אל קסום</t>
  </si>
  <si>
    <t>אבו גוש</t>
  </si>
  <si>
    <t>אבו סנאן</t>
  </si>
  <si>
    <t>אבן יהודה</t>
  </si>
  <si>
    <t>אום אל פחם</t>
  </si>
  <si>
    <t>עירייה</t>
  </si>
  <si>
    <t>אופקים</t>
  </si>
  <si>
    <t>אור יהודה</t>
  </si>
  <si>
    <t>אור עקיבא</t>
  </si>
  <si>
    <t>אורנית</t>
  </si>
  <si>
    <t>אזור</t>
  </si>
  <si>
    <t>איכסאל</t>
  </si>
  <si>
    <t>אילת</t>
  </si>
  <si>
    <t>אל באטוף</t>
  </si>
  <si>
    <t xml:space="preserve">אלונה   </t>
  </si>
  <si>
    <t>אליכין</t>
  </si>
  <si>
    <t>אלעד</t>
  </si>
  <si>
    <t>אלפי מנשה</t>
  </si>
  <si>
    <t>אלקנה</t>
  </si>
  <si>
    <t>אעבלין</t>
  </si>
  <si>
    <t xml:space="preserve">אריאל   </t>
  </si>
  <si>
    <t>אשדוד</t>
  </si>
  <si>
    <t>אשכול</t>
  </si>
  <si>
    <t>אשקלון</t>
  </si>
  <si>
    <t>באקה אל ג'רביה</t>
  </si>
  <si>
    <t>באר טוביה</t>
  </si>
  <si>
    <t>באר יעקב</t>
  </si>
  <si>
    <t>באר שבע</t>
  </si>
  <si>
    <t>בוסתן אל מרג'</t>
  </si>
  <si>
    <t>בועיינה-נוג'ידאת</t>
  </si>
  <si>
    <t>בוקעתה</t>
  </si>
  <si>
    <t>ביר אל-מכסור</t>
  </si>
  <si>
    <t>בית אל</t>
  </si>
  <si>
    <t>בית אריה</t>
  </si>
  <si>
    <t>בית ג'אן</t>
  </si>
  <si>
    <t>בית דגן</t>
  </si>
  <si>
    <t>בית שאן</t>
  </si>
  <si>
    <t>בית שמש</t>
  </si>
  <si>
    <t>ביתר עילית</t>
  </si>
  <si>
    <t>בני ברק</t>
  </si>
  <si>
    <t>בני עי"ש</t>
  </si>
  <si>
    <t>בני שמעון</t>
  </si>
  <si>
    <t>בנימינה-גבעת עדה</t>
  </si>
  <si>
    <t>בסמ"ה</t>
  </si>
  <si>
    <t>בסמת טבעון</t>
  </si>
  <si>
    <t>בענה</t>
  </si>
  <si>
    <t>ברנר</t>
  </si>
  <si>
    <t>בת ים</t>
  </si>
  <si>
    <t>ג'דיידה-מכר</t>
  </si>
  <si>
    <t>ג'ולס</t>
  </si>
  <si>
    <t>ג'לג'וליה</t>
  </si>
  <si>
    <t>ג'סר א-זרקא</t>
  </si>
  <si>
    <t>גבעת זאב</t>
  </si>
  <si>
    <t>גבעת שמואל</t>
  </si>
  <si>
    <t>גבעתיים</t>
  </si>
  <si>
    <t>גדרה</t>
  </si>
  <si>
    <t>גדרות</t>
  </si>
  <si>
    <t>גולן</t>
  </si>
  <si>
    <t>גוש חלב</t>
  </si>
  <si>
    <t>גוש עציון</t>
  </si>
  <si>
    <t>גזר</t>
  </si>
  <si>
    <t>גן יבנה</t>
  </si>
  <si>
    <t>גן רווה</t>
  </si>
  <si>
    <t>גני תקוה</t>
  </si>
  <si>
    <t>ג'ת</t>
  </si>
  <si>
    <t>דבוריה</t>
  </si>
  <si>
    <t>דימונה</t>
  </si>
  <si>
    <t>דיר אל אסד</t>
  </si>
  <si>
    <t>דיר חנא</t>
  </si>
  <si>
    <t>דליית אל כרמל</t>
  </si>
  <si>
    <t>דרום השרון</t>
  </si>
  <si>
    <t>הגלבוע</t>
  </si>
  <si>
    <t xml:space="preserve">הגליל העליון  </t>
  </si>
  <si>
    <t>הגליל התחתון</t>
  </si>
  <si>
    <t>הוד השרון</t>
  </si>
  <si>
    <t>הר אדר</t>
  </si>
  <si>
    <t xml:space="preserve">הר חברון </t>
  </si>
  <si>
    <t>הרצליה</t>
  </si>
  <si>
    <t xml:space="preserve">זבולון   </t>
  </si>
  <si>
    <t>זכרון יעקב</t>
  </si>
  <si>
    <t>זמר</t>
  </si>
  <si>
    <t>זרזיר</t>
  </si>
  <si>
    <t>חבל אילות</t>
  </si>
  <si>
    <t>חבל יבנה</t>
  </si>
  <si>
    <t>חבל מודיעין</t>
  </si>
  <si>
    <t xml:space="preserve">חדרה  </t>
  </si>
  <si>
    <t>חולון</t>
  </si>
  <si>
    <t>חוף אשקלון</t>
  </si>
  <si>
    <t>חוף הכרמל</t>
  </si>
  <si>
    <t>חוף השרון</t>
  </si>
  <si>
    <t>חורה</t>
  </si>
  <si>
    <t>חורפיש</t>
  </si>
  <si>
    <t>חיפה</t>
  </si>
  <si>
    <t>חצור הגלילית</t>
  </si>
  <si>
    <t>טבריה</t>
  </si>
  <si>
    <t>טובא זנגריה</t>
  </si>
  <si>
    <t>טורען</t>
  </si>
  <si>
    <t>טייבה</t>
  </si>
  <si>
    <t>טירה</t>
  </si>
  <si>
    <t>טמרה</t>
  </si>
  <si>
    <t>יבנה</t>
  </si>
  <si>
    <t xml:space="preserve">יהוד - מונסון </t>
  </si>
  <si>
    <t>יואב</t>
  </si>
  <si>
    <t>ינוח ג'ת</t>
  </si>
  <si>
    <t>יסוד המעלה</t>
  </si>
  <si>
    <t>יפיע</t>
  </si>
  <si>
    <t>יקנעם עלית</t>
  </si>
  <si>
    <t>ירוחם</t>
  </si>
  <si>
    <t>ירכא</t>
  </si>
  <si>
    <t>כאבול</t>
  </si>
  <si>
    <t>כאוכב אבו אל-היג'א</t>
  </si>
  <si>
    <t>כוכב יאיר</t>
  </si>
  <si>
    <t>כסייפה</t>
  </si>
  <si>
    <t xml:space="preserve">כסרא סמיע  </t>
  </si>
  <si>
    <t>כעביה-טבאש-חג'אג'רה</t>
  </si>
  <si>
    <t>כפר ברא</t>
  </si>
  <si>
    <t>כפר ורדים</t>
  </si>
  <si>
    <t>כפר יונה</t>
  </si>
  <si>
    <t>כפר יסיף</t>
  </si>
  <si>
    <t xml:space="preserve">כפר כנא </t>
  </si>
  <si>
    <t>כפר מנדא</t>
  </si>
  <si>
    <t>כפר סבא</t>
  </si>
  <si>
    <t>כפר קאסם</t>
  </si>
  <si>
    <t>כפר קמא</t>
  </si>
  <si>
    <t>כפר קרע</t>
  </si>
  <si>
    <t>כפר שמריהו</t>
  </si>
  <si>
    <t xml:space="preserve">כפר תבור </t>
  </si>
  <si>
    <t>כרמיאל</t>
  </si>
  <si>
    <t>לב השרון</t>
  </si>
  <si>
    <t>להבים</t>
  </si>
  <si>
    <t>לוד</t>
  </si>
  <si>
    <t>לכיש</t>
  </si>
  <si>
    <t>לקיה</t>
  </si>
  <si>
    <t>מבואות חרמון</t>
  </si>
  <si>
    <t>מבשרת ציון</t>
  </si>
  <si>
    <t>מגאר</t>
  </si>
  <si>
    <t>מג'ד אל-כרום</t>
  </si>
  <si>
    <t>מג'דל שמס</t>
  </si>
  <si>
    <t>מגדל</t>
  </si>
  <si>
    <t>מגדל העמק</t>
  </si>
  <si>
    <t>מגדל תפן</t>
  </si>
  <si>
    <t>מגידו</t>
  </si>
  <si>
    <t>מגילות ים המלח</t>
  </si>
  <si>
    <t>מודיעין - מכבים רעות</t>
  </si>
  <si>
    <t>מודיעין עלית</t>
  </si>
  <si>
    <t>מזכרת בתיה</t>
  </si>
  <si>
    <t>מזרעה</t>
  </si>
  <si>
    <t>מטה אשר</t>
  </si>
  <si>
    <t>מטה בנימין</t>
  </si>
  <si>
    <t>מטה יהודה</t>
  </si>
  <si>
    <t>מטולה</t>
  </si>
  <si>
    <t>מיתר</t>
  </si>
  <si>
    <t>מנשה</t>
  </si>
  <si>
    <t>מסעדה</t>
  </si>
  <si>
    <t>מעיליא</t>
  </si>
  <si>
    <t>מעלה אדומים</t>
  </si>
  <si>
    <t>מעלה אפרים</t>
  </si>
  <si>
    <t>מעלה יוסף</t>
  </si>
  <si>
    <t>מעלה עירון</t>
  </si>
  <si>
    <t>מעלות תרשיחא</t>
  </si>
  <si>
    <t>מצפה רמון</t>
  </si>
  <si>
    <t>מרום הגליל</t>
  </si>
  <si>
    <t>מרחבים</t>
  </si>
  <si>
    <t>משגב</t>
  </si>
  <si>
    <t>משהד</t>
  </si>
  <si>
    <t xml:space="preserve">נהריה </t>
  </si>
  <si>
    <t>נחל שורק</t>
  </si>
  <si>
    <t>נחף</t>
  </si>
  <si>
    <t>נס ציונה</t>
  </si>
  <si>
    <t>נצרת</t>
  </si>
  <si>
    <t>נצרת עלית</t>
  </si>
  <si>
    <t>נשר</t>
  </si>
  <si>
    <t>נתיבות</t>
  </si>
  <si>
    <t>נתניה</t>
  </si>
  <si>
    <t>סאג'ור</t>
  </si>
  <si>
    <t>סביון</t>
  </si>
  <si>
    <t>סכנין</t>
  </si>
  <si>
    <t>עארבה</t>
  </si>
  <si>
    <t>עומר</t>
  </si>
  <si>
    <t>עוספייה</t>
  </si>
  <si>
    <t>עילבון</t>
  </si>
  <si>
    <t>עילוט</t>
  </si>
  <si>
    <t>עין מאהל</t>
  </si>
  <si>
    <t>עין קיניה</t>
  </si>
  <si>
    <t>עכו</t>
  </si>
  <si>
    <t>עמנואל</t>
  </si>
  <si>
    <t xml:space="preserve">עמק הירדן </t>
  </si>
  <si>
    <t>עמק המעינות</t>
  </si>
  <si>
    <t>עמק חפר</t>
  </si>
  <si>
    <t>עמק יזרעאל</t>
  </si>
  <si>
    <t>עמק לוד</t>
  </si>
  <si>
    <t>עפולה</t>
  </si>
  <si>
    <t>ערבות הירדן (בקעת הירדן)</t>
  </si>
  <si>
    <t>ערד</t>
  </si>
  <si>
    <t>ערערה</t>
  </si>
  <si>
    <t>ערערה בנגב</t>
  </si>
  <si>
    <t>פורדיס</t>
  </si>
  <si>
    <t>פסוטה</t>
  </si>
  <si>
    <t>פקיעין</t>
  </si>
  <si>
    <t>פרדס חנה-כרכור</t>
  </si>
  <si>
    <t>פרדסיה</t>
  </si>
  <si>
    <t>פתח תקוה</t>
  </si>
  <si>
    <t>צפת</t>
  </si>
  <si>
    <t>קדומים</t>
  </si>
  <si>
    <t>קדימה - צורן</t>
  </si>
  <si>
    <t>קלנסואה</t>
  </si>
  <si>
    <t xml:space="preserve">חריש </t>
  </si>
  <si>
    <t>קצרין</t>
  </si>
  <si>
    <t>קרית אונו</t>
  </si>
  <si>
    <t>קרית ארבע</t>
  </si>
  <si>
    <t>קרית אתא</t>
  </si>
  <si>
    <t>קרית ביאליק</t>
  </si>
  <si>
    <t>קרית גת</t>
  </si>
  <si>
    <t>קרית טבעון</t>
  </si>
  <si>
    <t>קרית ים</t>
  </si>
  <si>
    <t>קרית יערים</t>
  </si>
  <si>
    <t>קרית מוצקין</t>
  </si>
  <si>
    <t>קרית מלאכי</t>
  </si>
  <si>
    <t>קרית עקרון</t>
  </si>
  <si>
    <t>קרית שמונה</t>
  </si>
  <si>
    <t>קרני שומרון</t>
  </si>
  <si>
    <t>ראמה</t>
  </si>
  <si>
    <t>ראש העין</t>
  </si>
  <si>
    <t>ראש פינה</t>
  </si>
  <si>
    <t>ראשון לציון</t>
  </si>
  <si>
    <t>רג'ר</t>
  </si>
  <si>
    <t>רהט</t>
  </si>
  <si>
    <t>רחובות</t>
  </si>
  <si>
    <t>ריינה</t>
  </si>
  <si>
    <t>רכסים</t>
  </si>
  <si>
    <t>רמלה</t>
  </si>
  <si>
    <t>רמת גן</t>
  </si>
  <si>
    <t>רמת השרון</t>
  </si>
  <si>
    <t xml:space="preserve">רמת חובב </t>
  </si>
  <si>
    <t>רמת ישי</t>
  </si>
  <si>
    <t>רמת נגב</t>
  </si>
  <si>
    <t>רעננה</t>
  </si>
  <si>
    <t>שגב שלום</t>
  </si>
  <si>
    <t>שדות נגב</t>
  </si>
  <si>
    <t>שדרות</t>
  </si>
  <si>
    <t>שהם</t>
  </si>
  <si>
    <t>שומרון</t>
  </si>
  <si>
    <t>שיבלי</t>
  </si>
  <si>
    <t>שלומי</t>
  </si>
  <si>
    <t>שעב</t>
  </si>
  <si>
    <t>שער הנגב</t>
  </si>
  <si>
    <t>שפיר</t>
  </si>
  <si>
    <t>שפרעם</t>
  </si>
  <si>
    <t>תל אביב - יפו</t>
  </si>
  <si>
    <t>תל-מונד</t>
  </si>
  <si>
    <t>תל-שבע</t>
  </si>
  <si>
    <t>תמר</t>
  </si>
  <si>
    <t>רשות עצמאית =1</t>
  </si>
  <si>
    <t>מועצה אזורית</t>
  </si>
  <si>
    <t>מועצה מקומית</t>
  </si>
  <si>
    <t>מועצה מקומית אבן יהודה</t>
  </si>
  <si>
    <t>עירית</t>
  </si>
  <si>
    <t>עירית אור יהודה</t>
  </si>
  <si>
    <t>סוג מלא</t>
  </si>
  <si>
    <t>שם מלא</t>
  </si>
  <si>
    <t>עירית ראש העין</t>
  </si>
  <si>
    <t>עירית אום אל פחם</t>
  </si>
  <si>
    <t>עירית אופקים</t>
  </si>
  <si>
    <t>עירית אור עקיבא</t>
  </si>
  <si>
    <t>עירית אילת</t>
  </si>
  <si>
    <t>עירית אלעד</t>
  </si>
  <si>
    <t xml:space="preserve">עירית אריאל   </t>
  </si>
  <si>
    <t>עירית אשדוד</t>
  </si>
  <si>
    <t>עירית אשקלון</t>
  </si>
  <si>
    <t>עירית באר שבע</t>
  </si>
  <si>
    <t>עירית בית שאן</t>
  </si>
  <si>
    <t>עירית בית שמש</t>
  </si>
  <si>
    <t>עירית ביתר עילית</t>
  </si>
  <si>
    <t>עירית בני ברק</t>
  </si>
  <si>
    <t>עירית בת ים</t>
  </si>
  <si>
    <t>עירית גבעת שמואל</t>
  </si>
  <si>
    <t>עירית גבעתיים</t>
  </si>
  <si>
    <t>עירית דימונה</t>
  </si>
  <si>
    <t>עירית הוד השרון</t>
  </si>
  <si>
    <t>עירית הרצליה</t>
  </si>
  <si>
    <t xml:space="preserve">עירית חדרה  </t>
  </si>
  <si>
    <t>עירית חולון</t>
  </si>
  <si>
    <t>עירית חיפה</t>
  </si>
  <si>
    <t>עירית טבריה</t>
  </si>
  <si>
    <t>עירית טייבה</t>
  </si>
  <si>
    <t>עירית טירה</t>
  </si>
  <si>
    <t>עירית טמרה</t>
  </si>
  <si>
    <t>עירית יבנה</t>
  </si>
  <si>
    <t xml:space="preserve">עירית יהוד - מונסון </t>
  </si>
  <si>
    <t>עירית יקנעם עלית</t>
  </si>
  <si>
    <t>עירית ירושלים</t>
  </si>
  <si>
    <t>עירית כפר סבא</t>
  </si>
  <si>
    <t>עירית כפר קאסם</t>
  </si>
  <si>
    <t>עירית כרמיאל</t>
  </si>
  <si>
    <t>עירית לוד</t>
  </si>
  <si>
    <t>עירית מגדל העמק</t>
  </si>
  <si>
    <t>עירית מודיעין - מכבים רעות</t>
  </si>
  <si>
    <t>עירית מודיעין עלית</t>
  </si>
  <si>
    <t>עירית מעלה אדומים</t>
  </si>
  <si>
    <t>עירית מעלות תרשיחא</t>
  </si>
  <si>
    <t xml:space="preserve">עירית נהריה </t>
  </si>
  <si>
    <t>עירית נס ציונה</t>
  </si>
  <si>
    <t>עירית נצרת</t>
  </si>
  <si>
    <t>עירית נצרת עלית</t>
  </si>
  <si>
    <t>עירית נשר</t>
  </si>
  <si>
    <t>עירית נתיבות</t>
  </si>
  <si>
    <t>עירית נתניה</t>
  </si>
  <si>
    <t>עירית סכנין</t>
  </si>
  <si>
    <t>עירית עכו</t>
  </si>
  <si>
    <t>עירית עפולה</t>
  </si>
  <si>
    <t>עירית ערד</t>
  </si>
  <si>
    <t>עירית פתח תקוה</t>
  </si>
  <si>
    <t>עירית צפת</t>
  </si>
  <si>
    <t>עירית קלנסואה</t>
  </si>
  <si>
    <t>עירית קרית אונו</t>
  </si>
  <si>
    <t>עירית קרית אתא</t>
  </si>
  <si>
    <t>עירית קרית ביאליק</t>
  </si>
  <si>
    <t>עירית קרית גת</t>
  </si>
  <si>
    <t>עירית קרית ים</t>
  </si>
  <si>
    <t>עירית קרית מוצקין</t>
  </si>
  <si>
    <t>עירית קרית מלאכי</t>
  </si>
  <si>
    <t>עירית קרית שמונה</t>
  </si>
  <si>
    <t>עירית ראשון לציון</t>
  </si>
  <si>
    <t>עירית רהט</t>
  </si>
  <si>
    <t>עירית רחובות</t>
  </si>
  <si>
    <t>עירית רמלה</t>
  </si>
  <si>
    <t>עירית רמת גן</t>
  </si>
  <si>
    <t>עירית רמת השרון</t>
  </si>
  <si>
    <t>עירית רעננה</t>
  </si>
  <si>
    <t>עירית שדרות</t>
  </si>
  <si>
    <t>עירית שפרעם</t>
  </si>
  <si>
    <t>עירית תל אביב - יפו</t>
  </si>
  <si>
    <t>מועצה מקומית משהד</t>
  </si>
  <si>
    <t>מועצה אזורית  אל קסום</t>
  </si>
  <si>
    <t>מועצה מקומית אבו גוש</t>
  </si>
  <si>
    <t>מועצה מקומית אבו סנאן</t>
  </si>
  <si>
    <t>מועצה מקומית אורנית</t>
  </si>
  <si>
    <t>מועצה מקומית אזור</t>
  </si>
  <si>
    <t>מועצה מקומית איכסאל</t>
  </si>
  <si>
    <t>מועצה אזורית אל באטוף</t>
  </si>
  <si>
    <t xml:space="preserve">מועצה אזורית אלונה   </t>
  </si>
  <si>
    <t>מועצה מקומית אליכין</t>
  </si>
  <si>
    <t>מועצה מקומית אלפי מנשה</t>
  </si>
  <si>
    <t>מועצה מקומית אלקנה</t>
  </si>
  <si>
    <t>מועצה מקומית אעבלין</t>
  </si>
  <si>
    <t>מועצה אזורית אשכול</t>
  </si>
  <si>
    <t>מועצה מקומית באקה אל ג'רביה</t>
  </si>
  <si>
    <t>מועצה אזורית באר טוביה</t>
  </si>
  <si>
    <t>מועצה מקומית באר יעקב</t>
  </si>
  <si>
    <t>מועצה אזורית בוסתן אל מרג'</t>
  </si>
  <si>
    <t>מועצה מקומית בועיינה-נוג'ידאת</t>
  </si>
  <si>
    <t>מועצה מקומית בוקעתה</t>
  </si>
  <si>
    <t>מועצה מקומית ביר אל-מכסור</t>
  </si>
  <si>
    <t>מועצה מקומית בית אל</t>
  </si>
  <si>
    <t>מועצה מקומית בית אריה</t>
  </si>
  <si>
    <t>מועצה מקומית בית ג'אן</t>
  </si>
  <si>
    <t>מועצה מקומית בית דגן</t>
  </si>
  <si>
    <t>מועצה מקומית בני עי"ש</t>
  </si>
  <si>
    <t>מועצה אזורית בני שמעון</t>
  </si>
  <si>
    <t>מועצה מקומית בנימינה-גבעת עדה</t>
  </si>
  <si>
    <t>מועצה מקומית בסמ"ה</t>
  </si>
  <si>
    <t>מועצה מקומית בסמת טבעון</t>
  </si>
  <si>
    <t>מועצה מקומית בענה</t>
  </si>
  <si>
    <t>מועצה אזורית ברנר</t>
  </si>
  <si>
    <t>מועצה מקומית ג'דיידה-מכר</t>
  </si>
  <si>
    <t>מועצה מקומית ג'ולס</t>
  </si>
  <si>
    <t>מועצה מקומית ג'לג'וליה</t>
  </si>
  <si>
    <t>מועצה מקומית ג'סר א-זרקא</t>
  </si>
  <si>
    <t>מועצה מקומית גבעת זאב</t>
  </si>
  <si>
    <t>מועצה מקומית גדרה</t>
  </si>
  <si>
    <t>מועצה אזורית גדרות</t>
  </si>
  <si>
    <t>מועצה אזורית גולן</t>
  </si>
  <si>
    <t>מועצה מקומית גוש חלב</t>
  </si>
  <si>
    <t>מועצה אזורית גוש עציון</t>
  </si>
  <si>
    <t>מועצה אזורית גזר</t>
  </si>
  <si>
    <t>מועצה מקומית גן יבנה</t>
  </si>
  <si>
    <t>מועצה אזורית גן רווה</t>
  </si>
  <si>
    <t>מועצה מקומית גני תקוה</t>
  </si>
  <si>
    <t>מועצה מקומית ג'ת</t>
  </si>
  <si>
    <t>מועצה מקומית דבוריה</t>
  </si>
  <si>
    <t>מועצה מקומית דיר אל אסד</t>
  </si>
  <si>
    <t>מועצה מקומית דיר חנא</t>
  </si>
  <si>
    <t>מועצה מקומית דליית אל כרמל</t>
  </si>
  <si>
    <t>מועצה אזורית דרום השרון</t>
  </si>
  <si>
    <t>מועצה אזורית הגלבוע</t>
  </si>
  <si>
    <t xml:space="preserve">מועצה אזורית הגליל העליון  </t>
  </si>
  <si>
    <t>מועצה אזורית הגליל התחתון</t>
  </si>
  <si>
    <t>מועצה מקומית הר אדר</t>
  </si>
  <si>
    <t xml:space="preserve">מועצה אזורית הר חברון </t>
  </si>
  <si>
    <t xml:space="preserve">מועצה אזורית זבולון   </t>
  </si>
  <si>
    <t>מועצה מקומית זכרון יעקב</t>
  </si>
  <si>
    <t>מועצה מקומית זמר</t>
  </si>
  <si>
    <t>מועצה מקומית זרזיר</t>
  </si>
  <si>
    <t>מועצה אזורית חבל אילות</t>
  </si>
  <si>
    <t>מועצה אזורית חבל יבנה</t>
  </si>
  <si>
    <t>מועצה אזורית חבל מודיעין</t>
  </si>
  <si>
    <t>מועצה אזורית חוף אשקלון</t>
  </si>
  <si>
    <t>מועצה אזורית חוף הכרמל</t>
  </si>
  <si>
    <t>מועצה אזורית חוף השרון</t>
  </si>
  <si>
    <t>מועצה מקומית חורה</t>
  </si>
  <si>
    <t>מועצה מקומית חורפיש</t>
  </si>
  <si>
    <t>מועצה מקומית חצור הגלילית</t>
  </si>
  <si>
    <t>מועצה מקומית טובא זנגריה</t>
  </si>
  <si>
    <t>מועצה מקומית טורען</t>
  </si>
  <si>
    <t>מועצה אזורית יואב</t>
  </si>
  <si>
    <t>מועצה מקומית ינוח ג'ת</t>
  </si>
  <si>
    <t>מועצה מקומית יסוד המעלה</t>
  </si>
  <si>
    <t>מועצה מקומית יפיע</t>
  </si>
  <si>
    <t>מועצה מקומית ירוחם</t>
  </si>
  <si>
    <t>מועצה מקומית ירכא</t>
  </si>
  <si>
    <t>מועצה מקומית כאבול</t>
  </si>
  <si>
    <t>מועצה מקומית כאוכב אבו אל-היג'א</t>
  </si>
  <si>
    <t>מועצה מקומית כוכב יאיר</t>
  </si>
  <si>
    <t>מועצה מקומית כסייפה</t>
  </si>
  <si>
    <t xml:space="preserve">מועצה מקומית כסרא סמיע  </t>
  </si>
  <si>
    <t>מועצה מקומית כעביה-טבאש-חג'אג'רה</t>
  </si>
  <si>
    <t>מועצה מקומית כפר ברא</t>
  </si>
  <si>
    <t>מועצה מקומית כפר ורדים</t>
  </si>
  <si>
    <t>מועצה מקומית כפר יסיף</t>
  </si>
  <si>
    <t xml:space="preserve">מועצה מקומית כפר כנא </t>
  </si>
  <si>
    <t>מועצה מקומית כפר מנדא</t>
  </si>
  <si>
    <t>מועצה מקומית כפר קמא</t>
  </si>
  <si>
    <t>מועצה מקומית כפר קרע</t>
  </si>
  <si>
    <t>מועצה מקומית כפר שמריהו</t>
  </si>
  <si>
    <t xml:space="preserve">מועצה מקומית כפר תבור </t>
  </si>
  <si>
    <t>מועצה אזורית לב השרון</t>
  </si>
  <si>
    <t>מועצה מקומית להבים</t>
  </si>
  <si>
    <t>מועצה אזורית לכיש</t>
  </si>
  <si>
    <t>מועצה מקומית לקיה</t>
  </si>
  <si>
    <t>מועצה אזורית מבואות חרמון</t>
  </si>
  <si>
    <t>מועצה מקומית מבשרת ציון</t>
  </si>
  <si>
    <t>מועצה מקומית מגאר</t>
  </si>
  <si>
    <t>מועצה מקומית מג'ד אל-כרום</t>
  </si>
  <si>
    <t>מועצה מקומית מג'דל שמס</t>
  </si>
  <si>
    <t>מועצה מקומית מגדל</t>
  </si>
  <si>
    <t>מועצה מקומית מגדל תפן</t>
  </si>
  <si>
    <t>מועצה אזורית מגידו</t>
  </si>
  <si>
    <t>מועצה אזורית מגילות ים המלח</t>
  </si>
  <si>
    <t>מועצה מקומית מזכרת בתיה</t>
  </si>
  <si>
    <t>מועצה מקומית מזרעה</t>
  </si>
  <si>
    <t>מועצה אזורית מטה אשר</t>
  </si>
  <si>
    <t>מועצה אזורית מטה בנימין</t>
  </si>
  <si>
    <t>מועצה אזורית מטה יהודה</t>
  </si>
  <si>
    <t>מועצה מקומית מטולה</t>
  </si>
  <si>
    <t>מועצה מקומית מיתר</t>
  </si>
  <si>
    <t>מועצה אזורית מנשה</t>
  </si>
  <si>
    <t>מועצה מקומית מסעדה</t>
  </si>
  <si>
    <t>מועצה מקומית מעיליא</t>
  </si>
  <si>
    <t>מועצה מקומית מעלה אפרים</t>
  </si>
  <si>
    <t>מועצה אזורית מעלה יוסף</t>
  </si>
  <si>
    <t>מועצה מקומית מעלה עירון</t>
  </si>
  <si>
    <t>מועצה מקומית מצפה רמון</t>
  </si>
  <si>
    <t>מועצה אזורית מרום הגליל</t>
  </si>
  <si>
    <t>מועצה אזורית מרחבים</t>
  </si>
  <si>
    <t>מועצה אזורית משגב</t>
  </si>
  <si>
    <t>מועצה אזורית נחל שורק</t>
  </si>
  <si>
    <t>מועצה מקומית נחף</t>
  </si>
  <si>
    <t>מועצה מקומית סאג'ור</t>
  </si>
  <si>
    <t>מועצה מקומית סביון</t>
  </si>
  <si>
    <t>מועצה מקומית עארבה</t>
  </si>
  <si>
    <t>מועצה מקומית עומר</t>
  </si>
  <si>
    <t>מועצה מקומית עוספייה</t>
  </si>
  <si>
    <t>מועצה מקומית עילבון</t>
  </si>
  <si>
    <t>מועצה מקומית עילוט</t>
  </si>
  <si>
    <t>מועצה מקומית עין מאהל</t>
  </si>
  <si>
    <t>מועצה מקומית עין קיניה</t>
  </si>
  <si>
    <t>מועצה מקומית עמנואל</t>
  </si>
  <si>
    <t xml:space="preserve">מועצה אזורית עמק הירדן </t>
  </si>
  <si>
    <t>מועצה אזורית עמק המעינות</t>
  </si>
  <si>
    <t>מועצה אזורית עמק חפר</t>
  </si>
  <si>
    <t>מועצה אזורית עמק יזרעאל</t>
  </si>
  <si>
    <t>מועצה אזורית עמק לוד</t>
  </si>
  <si>
    <t>מועצה אזורית ערבות הירדן (בקעת הירדן)</t>
  </si>
  <si>
    <t>מועצה מקומית ערערה</t>
  </si>
  <si>
    <t>מועצה מקומית ערערה בנגב</t>
  </si>
  <si>
    <t>מועצה מקומית פורדיס</t>
  </si>
  <si>
    <t>מועצה מקומית פסוטה</t>
  </si>
  <si>
    <t>מועצה מקומית פקיעין</t>
  </si>
  <si>
    <t>מועצה מקומית פרדס חנה-כרכור</t>
  </si>
  <si>
    <t>מועצה מקומית פרדסיה</t>
  </si>
  <si>
    <t>מועצה מקומית קדומים</t>
  </si>
  <si>
    <t>מועצה מקומית קדימה - צורן</t>
  </si>
  <si>
    <t xml:space="preserve">מועצה מקומית חריש </t>
  </si>
  <si>
    <t>מועצה מקומית קצרין</t>
  </si>
  <si>
    <t>מועצה מקומית קרית ארבע</t>
  </si>
  <si>
    <t>מועצה מקומית קרית טבעון</t>
  </si>
  <si>
    <t>מועצה מקומית קרית יערים</t>
  </si>
  <si>
    <t>מועצה מקומית קרית עקרון</t>
  </si>
  <si>
    <t>מועצה מקומית קרני שומרון</t>
  </si>
  <si>
    <t>מועצה מקומית ראמה</t>
  </si>
  <si>
    <t>מועצה מקומית ראש פינה</t>
  </si>
  <si>
    <t>מועצה מקומית רג'ר</t>
  </si>
  <si>
    <t>מועצה מקומית ריינה</t>
  </si>
  <si>
    <t>מועצה מקומית רכסים</t>
  </si>
  <si>
    <t xml:space="preserve">מועצה מקומית רמת חובב </t>
  </si>
  <si>
    <t>מועצה מקומית רמת ישי</t>
  </si>
  <si>
    <t>מועצה אזורית רמת נגב</t>
  </si>
  <si>
    <t>מועצה מקומית שגב שלום</t>
  </si>
  <si>
    <t>מועצה אזורית שדות נגב</t>
  </si>
  <si>
    <t>מועצה מקומית שהם</t>
  </si>
  <si>
    <t>מועצה אזורית שומרון</t>
  </si>
  <si>
    <t>מועצה מקומית שיבלי</t>
  </si>
  <si>
    <t>מועצה מקומית שלומי</t>
  </si>
  <si>
    <t>מועצה מקומית שעב</t>
  </si>
  <si>
    <t>מועצה אזורית שער הנגב</t>
  </si>
  <si>
    <t>מועצה אזורית שפיר</t>
  </si>
  <si>
    <t>מועצה מקומית תל-מונד</t>
  </si>
  <si>
    <t>מועצה מקומית תל-שבע</t>
  </si>
  <si>
    <t>מועצה אזורית תמר</t>
  </si>
  <si>
    <t>אאא</t>
  </si>
  <si>
    <t>הוצאות שכר לפי דוח 66-רווחה</t>
  </si>
  <si>
    <t>השתתפות התקציב הרגיל</t>
  </si>
  <si>
    <t>בתי מלון</t>
  </si>
  <si>
    <t>אדמה חקלאית</t>
  </si>
  <si>
    <t>קרקע תפוסה במפעל עתיר שטח</t>
  </si>
  <si>
    <t>מבנה חקלאי</t>
  </si>
  <si>
    <t>תעשיה</t>
  </si>
  <si>
    <t>חיוב / זיכוי נוסף גבוה מ10% מהחיוב הראשוני. יש לבדוק האם סביר.</t>
  </si>
  <si>
    <t>התנועה בקופה מיועדת לכיסוי דמי ניהול פנסיה תקציבית</t>
  </si>
  <si>
    <t>התנועה בקרן דמי ניהול פנסיה תקציבית</t>
  </si>
  <si>
    <t>האם אין שכר ללא תקן?</t>
  </si>
  <si>
    <t>שם הגוף</t>
  </si>
  <si>
    <t>מניות</t>
  </si>
  <si>
    <t>פרמיה</t>
  </si>
  <si>
    <t>מבנה</t>
  </si>
  <si>
    <t>משפטי</t>
  </si>
  <si>
    <t>אחזקה</t>
  </si>
  <si>
    <t>שיעור</t>
  </si>
  <si>
    <t>תשלום</t>
  </si>
  <si>
    <t>על חשבון</t>
  </si>
  <si>
    <t>יתרה בספרי</t>
  </si>
  <si>
    <t>ח (ז)</t>
  </si>
  <si>
    <t>הון עצמי</t>
  </si>
  <si>
    <t>במאזן</t>
  </si>
  <si>
    <t>התאגיד (*)</t>
  </si>
  <si>
    <t>מועצה</t>
  </si>
  <si>
    <t>עירית כפר יונה</t>
  </si>
  <si>
    <t>עירית טירת כרמל</t>
  </si>
  <si>
    <t>טירת כרמל</t>
  </si>
  <si>
    <t>יבנאל</t>
  </si>
  <si>
    <t>מועצה מקומית יבנאל</t>
  </si>
  <si>
    <t>נווה מדבר</t>
  </si>
  <si>
    <t>מועצה אזורית נווה מדבר</t>
  </si>
  <si>
    <t>מועצה מקומית אפרת</t>
  </si>
  <si>
    <t>אפרת</t>
  </si>
  <si>
    <t xml:space="preserve">הערבה התיכונה  </t>
  </si>
  <si>
    <t xml:space="preserve">מועצה אזורית הערבה התיכונה  </t>
  </si>
  <si>
    <t>הכנסות מארנונה</t>
  </si>
  <si>
    <t>הנחות בארנונה</t>
  </si>
  <si>
    <t>הכנסות מארנונה בטופס 2 צריך להתאים להכנסות ארנונה בתוספת הנחות בנספח 3 לטופס 2</t>
  </si>
  <si>
    <t>סגירת תב"ר באמצעות הגדלת הגרעון המצטבר התאמה מס':</t>
  </si>
  <si>
    <t>בניכוי השקעות לכיסוי קרנות בלתי מתוקצבות</t>
  </si>
  <si>
    <t>מיחזור מלוות</t>
  </si>
  <si>
    <t>בנק דקסיה</t>
  </si>
  <si>
    <t>שיעור השינוי</t>
  </si>
  <si>
    <t>למשרה</t>
  </si>
  <si>
    <t>בעלות הממוצעת</t>
  </si>
  <si>
    <t>שיעור השינוי בעלות הממוצעת למשרה בפרק חינוך</t>
  </si>
  <si>
    <t>שיעור השינוי בעלות הממוצעת למשרה בפרק רווחה</t>
  </si>
  <si>
    <t>שיעור השינוי בעלות הממוצעת למשרת "בכירים"</t>
  </si>
  <si>
    <t>שיעור השינוי בעלות הממוצעת למשרה-נבחרים</t>
  </si>
  <si>
    <t>שיעור השינוי בעלות הממוצעת למשרה-פנסיונרים</t>
  </si>
  <si>
    <t>סטיה בעלות הממוצעת למשרה בפרק רווחה מעל 5% - יש להזין הסבר לסטיה.</t>
  </si>
  <si>
    <t>סטיה בעלות הממוצעת למשרת בכירים מעל 5% - יש להזין הסבר לסטיה.</t>
  </si>
  <si>
    <t>שיעור השינוי בעלות הממוצעת למשרת "אחרים"</t>
  </si>
  <si>
    <t>סטיה בעלות הממוצעת למשרה בפרק חינוך מעל 5% - יש להזין הסבר לסטיה.</t>
  </si>
  <si>
    <t>יש להזין הסבר לסטיה בעלות הממוצעת למשרת "אחרים" מעל 5%</t>
  </si>
  <si>
    <t>יש להזין הסבר לסטיה בעלות הממוצעת למשרה-בכירים מעל 5%</t>
  </si>
  <si>
    <t>יש להזין הסבר לסטיה בעלות הממוצעת למשרה-פנסיונרים מעל 5%</t>
  </si>
  <si>
    <t>הנחות בארנונה-הכנסות</t>
  </si>
  <si>
    <t>רשות איתנה=1</t>
  </si>
  <si>
    <t>רשות יציבה=1</t>
  </si>
  <si>
    <t>בדוח רואי החשבון נרשמה חוות דעת שלילית על הדוח הכספי</t>
  </si>
  <si>
    <t>ההרכב:</t>
  </si>
  <si>
    <t>בדוח רואי החשבון המבקרים נרשמה הסתייגות בגין מספרי השואה</t>
  </si>
  <si>
    <t>להלן תנועת הקרנות בשנת הדוח (באלפי ש''ח):</t>
  </si>
  <si>
    <t>יג.</t>
  </si>
  <si>
    <t>גורמי מפתח לחוסר וודאות באומדן</t>
  </si>
  <si>
    <t>משרדים שירותים ומסחר</t>
  </si>
  <si>
    <t>בנקים וחברות ביטוח</t>
  </si>
  <si>
    <t>קרקע תפוסה המשמשת לעריכת אירועים</t>
  </si>
  <si>
    <t>מבנה מגורים</t>
  </si>
  <si>
    <t>מגורים שאינם בשימוש</t>
  </si>
  <si>
    <t>הדוחות ערוכים על בסיס נומינלי היסטורי ולא בסכומים מדווחים כנדרש בתקני חשבונאות של המוסד  הישראלי לתקינה בחשבונאות. עיקרי המדיניות החשבונאית אשר יושמו בעריכת הדוחות הכספיים באופן עקבי לשנה קודמת מפורטים להלן:</t>
  </si>
  <si>
    <t>הרשויות המקומיות חייבות בניהול מערכת הנהלת חשבונות לפי תקנות הרשויות המקומיות (הנהלת חשבונות) , התשמ"ח - 1988.</t>
  </si>
  <si>
    <t>הדוחות הכספיים נערכו בהתאם להנחיות הנ"ל השונות מכללי חשבונאות מקובלים בנושאים מהותיים.</t>
  </si>
  <si>
    <t>הדוחות הכספיים נערכו על פי הנחיות הממונה על ביקורת החשבונות במשרד הפנים, כפי שנקבעו בהנחיות להנהלת חשבונות ודיווח כספי ברשויות מקומיות, בתוקף היותו גוף אחראי ומפקח בכל הנוגע לניהול חשבונותיה של רשות מקומית.</t>
  </si>
  <si>
    <t>ההשקעות ברכוש קבוע מופחתות עם זקיפת ההוצאות לתקציב הרגיל או הבלתי רגיל, בהתאם למקור המימון, ואינן מוצגות כנכס במאזן ופחת בגינן אינו מקבל ביטוי על פני תקופות הדיווח.</t>
  </si>
  <si>
    <t>הוצאות ריבית והפרשי הצמדה שהצטברו ושזמן פרעונן, לפי לוחות סילוקין, הוא לאחר תאריך הדוח הכספי, אינן נרשמות כהוצאה.</t>
  </si>
  <si>
    <t>תשלומים בגין רכישת זכויות מוניטריות נזקפים כהוצאה בתקציב הרגיל או הבלתי רגיל עם התהוותן .</t>
  </si>
  <si>
    <t>הוצאות על רכישת טובין למחסן, טרם יעודם למטרה מסויימת, נזקפות לסעיף מאזני. כמקור למימון מלאי זה קיימת קרן מלאי במחסן בלתי מוקצב שנוצרה ע"י חיוב בתקציב הרגיל.</t>
  </si>
  <si>
    <t>מענקים והשתתפויות ממשרדי ממשלה ומגופים ציבוריים אחרים המיועדים לתקציב הרגיל נזקפים על בסיס מצטבר.</t>
  </si>
  <si>
    <t>הוצאות ששולמו בשנת החשבון ואשר מתייחסות לתקופות מאוחרות יותר, נזקפות לדוח תקבולים ותשלומים במועד התשלום.</t>
  </si>
  <si>
    <t>דמי ניהול שנוכו, החל משנת 2004, מעובדים המועסקים בפנסיה תקציבית, בשיעור של 1% משכרם בשנת 2004 ו - 2% בשנים שלאחר מכן, נזקפו לקרן מיועדת לא מתוקצבת.</t>
  </si>
  <si>
    <t>ע"פ תיקון לחוק יסודות התקציב (תיקון מס' 38), התש"ע 2010, נקבע כי רשות מקומית תנהל את ההקצבות לפיתוח בחשבון בנק נפרד שייפתח  בתאגיד בנקאי, המיועד אך ורק למטרה זו, (להלן חשבון הפיתוח). בחשבון הפיתוח יופקדו כספי ההקצבות לפיתוח בלבד, והוא ישמש את הרשות המקומית רק למטרות שלשמן יועדו ההקצבות. המדינה לא תעביר לרשות מקומית הקצבות לפיתוח, אלא במישרין לחשבון הפיתוח שנפתח לפי הוראות תיקון זה והמנוהל לפיהן. הכספים בחשבון הפיתוח האמור לא יהיו ניתנים לעיקול אא"כ מתקיימים במצטבר תנאים שנקבעו בתיקון האמור.</t>
  </si>
  <si>
    <t>תשלומים אלה מוצגים בסעיף פעולות חינוך. השתתפות המשרד במימון שכר הגננות כלולה בסעיף הכנסות ממשרדי ממשלה.</t>
  </si>
  <si>
    <t>ביאור 2 ח-יד</t>
  </si>
  <si>
    <t>שם הגוף הנתמך או המתוקצב</t>
  </si>
  <si>
    <t>חודש אוקטובר 2015</t>
  </si>
  <si>
    <t>באלפי ש''ח</t>
  </si>
  <si>
    <t>סה"כ השקעות בקרנות באקטיב  צריך להתאים לקרנות בפאסיב</t>
  </si>
  <si>
    <r>
      <t>הנחות מימון - י</t>
    </r>
    <r>
      <rPr>
        <b/>
        <sz val="10"/>
        <color indexed="18"/>
        <rFont val="Arial"/>
        <family val="2"/>
      </rPr>
      <t>ש להקליד סכום</t>
    </r>
  </si>
  <si>
    <t>ביאור 1 - כללי</t>
  </si>
  <si>
    <t>רישום נתוני הנהלת החשבונות נערך ב"שיטת המזומנים המתוקנת" כמפורט בביאור 2 להלן.</t>
  </si>
  <si>
    <t>ביאור 2 - עיקרי המדיניות החשבונאית</t>
  </si>
  <si>
    <t xml:space="preserve">ביאור 3 - פירוטים לסעיפי המאזן </t>
  </si>
  <si>
    <t>ביאור 10 - מכירת נכסים</t>
  </si>
  <si>
    <t>ביאור 4 - פירוט תקבולים ותשלומים לא רגילים</t>
  </si>
  <si>
    <t>ביאור 1ו</t>
  </si>
  <si>
    <t>הנחות ארנונה בביאור 4 צריכות  להתאים להנחות ארנונה (הכנסות) בסנפח 3 לטופס 2 בתוספת הנחות מימון</t>
  </si>
  <si>
    <t>ביישום המדיניות החשבונאית של הרשות המתוארת לעיל, נדרשת הנהלת הרשות, במקרים מסוימים להפעיל שיקול דעת חשבונאי נרחב בנוגע לאומדנים והנחות בקשר לערכם בספרים של נכסים והתחייבויות שאינם בהכרח בנמצא ממקורות אחרים. האומדנים וההנחות הקשורות, מבוססים על ניסיון העבר וגורמים אחרים הנחשבים כרלוונטיים. התוצאות בפועל עשויות להיות שונות מאומדנים אלה.</t>
  </si>
  <si>
    <t>סה"כ מלוות שנתקבלו במשך השנה (**)</t>
  </si>
  <si>
    <t>ממוצע תעריף משוקלל בשנה קודמת</t>
  </si>
  <si>
    <t>ממוצע תעריף משוקלל בשנתיים קודמות</t>
  </si>
  <si>
    <t>תעריף משוקלל לא סביר. בדוק האם הוזנו נתונים נכונים לכל השנים.</t>
  </si>
  <si>
    <t>באם התקציב עודכן השנה, יש להזין את הפרטים בדבר עדכון התקציב ע"י משרד הפנים בביאור 1ו ובנספח 1 לטופס 2. באם התקציב לא עודכן יש לוודא כי בביאור 1ו ובנספח 1 לטופס 2 לא נרשמו נתונים לגבי עדכון התקציב לכאורה.</t>
  </si>
  <si>
    <t>באם התקציב עודכן השנה, יש להזין את הפרטים בדבר עדכון התקציב ע"י מועצת הרשות בביאור 1ו ובנספח 1 לטופס 2. באם התקציב לא עודכן יש לוודא כי בביאור 1ו ובנספח 1 לטופס 2 לא נרשמו נתונים לגבי עדכון התקציב לכאורה.</t>
  </si>
  <si>
    <r>
      <t xml:space="preserve">פרטים לגבי עדכון התקציב ע"י </t>
    </r>
    <r>
      <rPr>
        <b/>
        <u/>
        <sz val="10"/>
        <rFont val="Arial"/>
        <family val="2"/>
      </rPr>
      <t>המועצה</t>
    </r>
  </si>
  <si>
    <r>
      <t xml:space="preserve">פרטים לגבי עדכון התקציב ע"י </t>
    </r>
    <r>
      <rPr>
        <b/>
        <u/>
        <sz val="10"/>
        <rFont val="Arial"/>
        <family val="2"/>
      </rPr>
      <t>משרד הפנים</t>
    </r>
  </si>
  <si>
    <t>סה"כ מלוות שנתקבלו במשך השנה</t>
  </si>
  <si>
    <t>אין התאמה של  מלוות שנתקבלו בנספח 3 לטופס 1 למלוות שנתקבלו בטופס 3</t>
  </si>
  <si>
    <t>כאמור בביאור 1 לדוחות הכספיים, הדוחות הכספיים הוכנו על בסיס שיטת המזומנים המתוקנת בהתאם להנחיות הממונה על החשבונות במשרד הפנים בדבר עריכת דוחות כספיים ברשויות מקומיות ותקנות הרשויות המקומיות (הנהלת חשבונות), תשמ"ח-1988  (להלן ביחד "ההנחיות"). ההנחיות האמורות מהוות מסגרת דיווח כספי לרשויות מקומיות השונה מכללי חשבונאות מקובלים.</t>
  </si>
  <si>
    <t>הרשות הינה רשות איתנה ותקציבה אינו טעון אישור משרד הפנים</t>
  </si>
  <si>
    <t>תקציב הרשות אושר על ידי המליאה</t>
  </si>
  <si>
    <t>פרעון מלוות בגין ביוב נכלל בסעיף הוצאות מפעל הביוב .</t>
  </si>
  <si>
    <t>ופרעון מלוות בגין מים נכלל בסעיף הוצאות מפעל המים .</t>
  </si>
  <si>
    <t>ב.בגין עובדי הרשות הזכאים לפנסיה צוברת, נרשמת הוצאה לפיצויים בגובה התשלומים השוטפים  שמפקידה הרשות בקרן פנסיה. יתרת ההתחייבויות בגין פנסיה צוברת שאינה מכוסה - ראה ביאור 9 .</t>
  </si>
  <si>
    <t>תשלומים בגין חופשה שנתית נרשמים על בסיס מזומן בעת תשלום שוטף של משכורות עובדים עבור העדרות בגין חופשה. לא נערכה הפרשה לחופשה בגין התחייבות לחופשה טרם תשלומה (ראה ביאור 9).</t>
  </si>
  <si>
    <r>
      <t xml:space="preserve">התחייבות הרשות לביצוע עבודות פיתוח בגינן נגבו השתתפויות הבעלים </t>
    </r>
    <r>
      <rPr>
        <sz val="10"/>
        <color indexed="12"/>
        <rFont val="Arial"/>
        <family val="2"/>
      </rPr>
      <t>אינן מקבלות ביטוי בדוחות הכספיים.</t>
    </r>
  </si>
  <si>
    <r>
      <t xml:space="preserve">התשואה מהשקעות שמקורן מקרן לעבודות פיתוח נזקפה </t>
    </r>
    <r>
      <rPr>
        <sz val="10"/>
        <color rgb="FF0000FF"/>
        <rFont val="Arial"/>
        <family val="2"/>
      </rPr>
      <t>לקרן פיתוח.</t>
    </r>
  </si>
  <si>
    <t xml:space="preserve">התשואה מהשקעות שמקורן מעודפי תב"רים נזקפה לקרנות הפיתוח </t>
  </si>
  <si>
    <t xml:space="preserve">משטרת ישראל </t>
  </si>
  <si>
    <t>רשויות מקומיות ומוסדות אחרים</t>
  </si>
  <si>
    <t>הכנסות לקבל</t>
  </si>
  <si>
    <t>עובדים</t>
  </si>
  <si>
    <t>אחרים</t>
  </si>
  <si>
    <t xml:space="preserve">פיקדון קרן מולדובן (250,000 $) </t>
  </si>
  <si>
    <t xml:space="preserve">קרן אחזקה שיטתית עמיגור </t>
  </si>
  <si>
    <t xml:space="preserve">מניות בחברה העירונית לפיתוח התיירות בהרצליה בע"מ </t>
  </si>
  <si>
    <t xml:space="preserve">מניות בחברה לפיתוח הרצליה בע"מ </t>
  </si>
  <si>
    <t xml:space="preserve">שטר הון בחברה מי הרצליה בע"מ </t>
  </si>
  <si>
    <t xml:space="preserve">הלוואה מרכז הקהילתי לספורט תרבות ונופש הרצליה </t>
  </si>
  <si>
    <t xml:space="preserve">ניירות ערך בלתי סחירים </t>
  </si>
  <si>
    <t>מלאי- מחסן לא מתוקצב</t>
  </si>
  <si>
    <t xml:space="preserve">מלאי דלק- מחסן לא מתוקצב </t>
  </si>
  <si>
    <t>הלוואות לעובדים ונזקקים</t>
  </si>
  <si>
    <t xml:space="preserve">מתנסי"ם </t>
  </si>
  <si>
    <t xml:space="preserve">פקדונות ממינויי ספריות </t>
  </si>
  <si>
    <t>תקבולים במעבר מתושבים עבור שירותי חינוך ורווחה ספציפים</t>
  </si>
  <si>
    <t>תרומות מיועדות (רווחה)</t>
  </si>
  <si>
    <t>פקדונות שונים</t>
  </si>
  <si>
    <t xml:space="preserve">אחרים </t>
  </si>
  <si>
    <t>פיקדון קרן מולדובן (250,000 $)</t>
  </si>
  <si>
    <t xml:space="preserve">קרן אחזקה שטתית עמיגור </t>
  </si>
  <si>
    <t>השתתפות העודף המצטבר במימון הפיתוח</t>
  </si>
  <si>
    <t>הכנסות מימון</t>
  </si>
  <si>
    <t>העברה מקרנות פיתוח לכיסוי פרעון מלוות</t>
  </si>
  <si>
    <t>השתתפות משרד הפנים לפיצויי שכר</t>
  </si>
  <si>
    <t>רזרבה להוצאות</t>
  </si>
  <si>
    <t>העברה לקרנות פיתוח</t>
  </si>
  <si>
    <t>קרן סלילה</t>
  </si>
  <si>
    <t>קרן פיתוח רשות המים</t>
  </si>
  <si>
    <t>חובות מסופקים וחובות גביה ביוב</t>
  </si>
  <si>
    <t>השתתפות בפנסיה</t>
  </si>
  <si>
    <t>זיכויים שונים בסעיפי שכר</t>
  </si>
  <si>
    <t xml:space="preserve">עלויות שכר מתקציבי פעולה </t>
  </si>
  <si>
    <t xml:space="preserve">הפרשים אחרים וזיכויים אחרים שלא מקבלים ביטוי בדוחות </t>
  </si>
  <si>
    <t xml:space="preserve">הוצאות שכר שנרשמו כפעולות בסעיפים אחרים </t>
  </si>
  <si>
    <t>השתתפות בפעולות הג"א ארצי</t>
  </si>
  <si>
    <t>הרשות הארצית לכבאות והצלה</t>
  </si>
  <si>
    <t>השתתפויות ברשויות ניקוז : ירקון והשרון</t>
  </si>
  <si>
    <t>השתתפות בתקציב מרכז השלטון המקומי</t>
  </si>
  <si>
    <t>הוצאה ו/או העברות לקרנות לענינים חקלאים</t>
  </si>
  <si>
    <t>השתתפות באיגוד ערים מ.ד.א - נ.ט.ן</t>
  </si>
  <si>
    <t>השתתפות בתקציב המועצה הדתית</t>
  </si>
  <si>
    <t>השתתפות לפי חוקים ותקנות</t>
  </si>
  <si>
    <t>השתתפות לפי הסכם</t>
  </si>
  <si>
    <t xml:space="preserve">השתתפות במתנסים ותאגידים עירוניים </t>
  </si>
  <si>
    <t xml:space="preserve">סיוע לניהול עצמי - בתי ספר יסודיים </t>
  </si>
  <si>
    <t>הקצבות לניהול עצמי - בתי ספר יסודיים</t>
  </si>
  <si>
    <t xml:space="preserve">הקצבה לניהול עצמי - סדנה לאומניות ביה"ס גורדון </t>
  </si>
  <si>
    <t>מרכז מדעים לגיל הרך בנווה עמל</t>
  </si>
  <si>
    <t xml:space="preserve">נפעלת מרכז למידה בנווה ישראל - באמצעות המתנ"ס </t>
  </si>
  <si>
    <t>הפעלת פרויקט מורים צעירים ( באמצעות מתנס נווה ישראל )</t>
  </si>
  <si>
    <t>הקצבות לניהול עצמי חטיבות ביניים</t>
  </si>
  <si>
    <t>הקצבה לבית פוסטר להפעלה אחה"צ ( כולל שכר עבודה מנהלה )</t>
  </si>
  <si>
    <t xml:space="preserve">הקצבה לניהול עצמי אשכול הזהב </t>
  </si>
  <si>
    <t xml:space="preserve">הקצבות לניהול עצמי בתי ספר תיכוניים </t>
  </si>
  <si>
    <t>הקצבה לניהול עצמי מרכז פדגוגי</t>
  </si>
  <si>
    <t>סבסוד יול"א בגני ילדים באמצעות בית פוסטר</t>
  </si>
  <si>
    <t>מכללת גמלאים באמצעות על"ה</t>
  </si>
  <si>
    <t>הקצבה למתנס לספריית נווה ישראל</t>
  </si>
  <si>
    <t>הקצבה להפעלת מועדון נחלת עדה</t>
  </si>
  <si>
    <t>הקצבה למ.ק נוף ים ע"י פוסטר</t>
  </si>
  <si>
    <t>הקצבות למתנס נווה ישראל עבור מרכז יבור</t>
  </si>
  <si>
    <t>הקצבות למרכז המוסיקה יד התשעה</t>
  </si>
  <si>
    <t>הקצבות שלוחה במערב - קונסרברטויריון</t>
  </si>
  <si>
    <t>הקצבה ליד התשעה למוסיקה אתנית</t>
  </si>
  <si>
    <t>הקצבה למתנ"ס יד התשעה לקהילה האתיופית</t>
  </si>
  <si>
    <t>הקצבה להיכל האמוניות הבימה</t>
  </si>
  <si>
    <t>הקצבה למרכזה האם והתינוק</t>
  </si>
  <si>
    <t xml:space="preserve">הקצבה לתאגיד תרבות להפעלת הסינמטק </t>
  </si>
  <si>
    <t>השתתפות בוועדי עובדים</t>
  </si>
  <si>
    <t>השתתפות בהוצאות ועד עובדים</t>
  </si>
  <si>
    <t>השתתפות בהוצאות ועד עובדי חינוך על יסודי</t>
  </si>
  <si>
    <t>השתתפות בהוצאות ועד גימלאים</t>
  </si>
  <si>
    <t>השתתפות בפעילות ספורט</t>
  </si>
  <si>
    <t>כיתת ספורט הנגיד באמצעות ב.הרצליה</t>
  </si>
  <si>
    <t>כיתת ספורט בן גוריון - ב.הרצלה</t>
  </si>
  <si>
    <t>הקצבה לבני הרצליה - ילדים ונוער</t>
  </si>
  <si>
    <t>בני הרצליה עבור מרכזי מצוינות</t>
  </si>
  <si>
    <t>הקצבה לבני הרצליה- כדורסל נשים</t>
  </si>
  <si>
    <t>הקצבה לבני הרצליה לאגודת כדורעף</t>
  </si>
  <si>
    <t xml:space="preserve">תמיכות נוספות דרך ועדת תמיכות </t>
  </si>
  <si>
    <t>תמיכה באגודת ספורט תחרותי - בוגרים</t>
  </si>
  <si>
    <t xml:space="preserve">תמיכה באגודת ספורט תחרותי ונוער </t>
  </si>
  <si>
    <t>תמיכה במוסדות בתחום הקהילה והחינוך</t>
  </si>
  <si>
    <t>תמיכה בתנועות נוער</t>
  </si>
  <si>
    <t>תמיכה במוסדות בתחום תרבות תורנית</t>
  </si>
  <si>
    <t>תמיכה לכוללים ומסדות תורניים</t>
  </si>
  <si>
    <t>תמיכה במוסדות רווחה ובריאות</t>
  </si>
  <si>
    <t>תמיכה למוסדות לטובת הקשיש</t>
  </si>
  <si>
    <t>ריכוז:</t>
  </si>
  <si>
    <t>השתתפויות לפי הסכם</t>
  </si>
  <si>
    <t>השתתפויות במתנסי"ם ותאגידים עירונים</t>
  </si>
  <si>
    <t>השתתפויות בוועדי עובדים</t>
  </si>
  <si>
    <t>השתתפויות בפעילות ספורט</t>
  </si>
  <si>
    <t>תמיכות דרך ועדת תמיכות</t>
  </si>
  <si>
    <t>סה"כ לפי ריכוז</t>
  </si>
  <si>
    <t xml:space="preserve">השתתפויות שלא נכללו לעיל </t>
  </si>
  <si>
    <t>הנחות ארנונה</t>
  </si>
  <si>
    <t>השתתפויות רווחה</t>
  </si>
  <si>
    <t xml:space="preserve">השתתפויות אחרות </t>
  </si>
  <si>
    <t xml:space="preserve">סה"כ </t>
  </si>
  <si>
    <t xml:space="preserve">הקצבה למתנס לספריית יד התשעה </t>
  </si>
  <si>
    <t>הקצבה שוטפת למתנס בית פוסטר</t>
  </si>
  <si>
    <t xml:space="preserve">הקצבה שוטפת למתנס יד התשעה </t>
  </si>
  <si>
    <t>הקצבה שוטפת למתנס נווה ישראל</t>
  </si>
  <si>
    <t xml:space="preserve">הקצבות לשלוחה בביהס לב טוב </t>
  </si>
  <si>
    <t>החברה העירונית לפיתוח תיירות בהרצליה בע"מ</t>
  </si>
  <si>
    <t>חברה</t>
  </si>
  <si>
    <t>ביאור 11 - תאגידים עירוניים</t>
  </si>
  <si>
    <t>עמותה</t>
  </si>
  <si>
    <t>החברה לפיתוח הרצליה בע"מ</t>
  </si>
  <si>
    <t>מרכז קהילתי לספורט תרבות ונופש בהרצליה בע"מ</t>
  </si>
  <si>
    <t xml:space="preserve">החברה לאומנות ותרבות הרצליה בע"מ (חל"צ) </t>
  </si>
  <si>
    <t>עמותת בני הרצליה (ע"ר)</t>
  </si>
  <si>
    <t>אנסמבל תאטרון הרצליה (ע"ר)</t>
  </si>
  <si>
    <t xml:space="preserve">עמותה למען גילאי הזהב בהרצליה -בית הורים (ע"ר) </t>
  </si>
  <si>
    <t xml:space="preserve">מי הרצליה בע"מ </t>
  </si>
  <si>
    <t xml:space="preserve">בית העלמין הרצליה (ע"ר) </t>
  </si>
  <si>
    <t xml:space="preserve">על"ה הרצליה -עמותה למען הקשיש (ע"ר) </t>
  </si>
  <si>
    <t xml:space="preserve">אנסמבל תאטרון הרצליה (ע"ר) </t>
  </si>
  <si>
    <t xml:space="preserve">עמותה למען גילאי הזהב בהרצליה - בית הורים (ע"ר) </t>
  </si>
  <si>
    <t>על"ה הרצליה - עמותה למען הקשיש (ע"ר)</t>
  </si>
  <si>
    <t>א.1 החברה העירונית לפיתוח תיירות בהרצליה בע"מ נוסדה בשנת 1985</t>
  </si>
  <si>
    <t>ד.8 בישיבת מועצת העיר מיום 17.6.2014 הוחלט לצרף את מוזיאון הרצליה לפעילות החברה לאומנות ולתרבות הרצליה בע"מ .</t>
  </si>
  <si>
    <t xml:space="preserve">ו.1 עמותת אנסמבל תאטרון הרצליה הוקמה בשנת 2001 והפכה לתאגיד עירוני בשנת 2004. </t>
  </si>
  <si>
    <t xml:space="preserve">י.1 החברה הוקמה בחודש נובמבר 2008 והחלה לפעול בספטמבר 2009 . </t>
  </si>
  <si>
    <t xml:space="preserve">י.2 הנתונים הכספיים של החברה הינם מדוח מבוקר לשנת 2014 . </t>
  </si>
  <si>
    <t xml:space="preserve">י.3 המטרות העיקריות של החברה הינן : תכנון , הקמה , שיקום ופיתוח של כלל מערכות המים ומערכות הביוב שבתחום החברה . </t>
  </si>
  <si>
    <t xml:space="preserve">י.6 להלן תמצית ההסכמים שנחתמו בין העירייה לתאגיד המים . </t>
  </si>
  <si>
    <t xml:space="preserve">א. הסכם לאספקת שירותים - עיקרו הטיפול במשק המים והביוב עובר לטיפול התאגיד . העירייה תמשיך להעניק שירותי גבייה תמורת </t>
  </si>
  <si>
    <t xml:space="preserve">תפסיק לספק לתאגיד את שירותי הגבייה החל מיום 15 בספטמבר 2013 . הסכם זה אושר ע"י מועצת העיר ביום 11 ביוני 2013 . </t>
  </si>
  <si>
    <t xml:space="preserve"> העלות נטו של הנכסים שנמכרו לחברת מי הרצליה עמד</t>
  </si>
  <si>
    <t>על 222 מיליון ₪ .</t>
  </si>
  <si>
    <t xml:space="preserve">לתאריך הדוחות הכספיים ההתחייבויות התלויות של העירייה הסתכמו כמפורט להלן - </t>
  </si>
  <si>
    <t xml:space="preserve">ביתרות שבסעיף " הוצאות מתוקצבות שטרם שולמו " במאזן ( כמפורט בביאור 3 ז' לעיל ) , נכללות יתרות של הפרשות שונות שערכה </t>
  </si>
  <si>
    <t xml:space="preserve">מהות ההפרשה </t>
  </si>
  <si>
    <t xml:space="preserve">אלפי ₪ </t>
  </si>
  <si>
    <t xml:space="preserve">הפרשה למקורות בגין קיזוז תשלום "מעל הזכויות " </t>
  </si>
  <si>
    <t xml:space="preserve">הפרשה להוצאות עודפות </t>
  </si>
  <si>
    <t xml:space="preserve">הפרשה לרשות המיסים </t>
  </si>
  <si>
    <t xml:space="preserve">פיצויים לעובדי הוראה יומיים </t>
  </si>
  <si>
    <t xml:space="preserve">דמי שימוש במקרקעין </t>
  </si>
  <si>
    <t xml:space="preserve">תשלום מיוחד לרשות המים </t>
  </si>
  <si>
    <t xml:space="preserve">הפרשה למחצית דמי הבראה 2009 </t>
  </si>
  <si>
    <t xml:space="preserve">הפרשה לשחיקת שכר </t>
  </si>
  <si>
    <t>תב"רים שאינם ר"ק והעברת עודף בתב"רים שנסגרו</t>
  </si>
  <si>
    <t>מועדני ספורט בית ספריים - יסודי</t>
  </si>
  <si>
    <t xml:space="preserve">סיוע לניהול עצמי תוספת פדגוגית </t>
  </si>
  <si>
    <t xml:space="preserve">בתי ספר קהילתיים(יסודיים ועל יסודיים) </t>
  </si>
  <si>
    <t xml:space="preserve">מועדני ספורט בית ספריים - חט"ב </t>
  </si>
  <si>
    <t xml:space="preserve">מועדוני ספורט בית ספריים - תיכוניים </t>
  </si>
  <si>
    <t xml:space="preserve">השתתפות העירייה במעונות </t>
  </si>
  <si>
    <t xml:space="preserve">הקצבה לצורך תפעול שוטף </t>
  </si>
  <si>
    <t>עמליה בנווה עמל באמצעות בית פוסטר</t>
  </si>
  <si>
    <t>מנהל ומרכז פעילות הרצליה ב'</t>
  </si>
  <si>
    <t xml:space="preserve">מנהל ומרכז הרצליה הצעירה </t>
  </si>
  <si>
    <t xml:space="preserve">הקצבה להפעלת גלריה עירונית </t>
  </si>
  <si>
    <t>הקצבה להיכל אומניות הבמה להפעלת בית האזרח</t>
  </si>
  <si>
    <t>הקצבה לתאגיד התרבות להפעלת מרכז תיאטרון עירוני</t>
  </si>
  <si>
    <t xml:space="preserve">הקצבה לתאגיד שכר מנהלת </t>
  </si>
  <si>
    <t xml:space="preserve">הקצבה לתאגיד תרבות להפעלת מוז"א לאומנות </t>
  </si>
  <si>
    <t xml:space="preserve">הקצבה לתאגיד התרבות על הבמה </t>
  </si>
  <si>
    <t>הקצבה לתאגיד תרבות העירוני להפעלת מועדון נוער</t>
  </si>
  <si>
    <t xml:space="preserve">הקצבות שוטפות למתנ"ס הפעלת אולם ספורט יד תשעה </t>
  </si>
  <si>
    <t xml:space="preserve">הקצבות שוטפות למתנ"ס הפעלת אולם ספורט נווה ישראל </t>
  </si>
  <si>
    <t xml:space="preserve">הקצבה לבני הרצליה להפעלת מרכז ספורט חדש </t>
  </si>
  <si>
    <t>הקצבה לתאגיד עירוני על"ה</t>
  </si>
  <si>
    <t xml:space="preserve">הקצבה להפעלת מועדון 60 פלוס </t>
  </si>
  <si>
    <t xml:space="preserve">הקצבה לעמותת על"ה  מרכז צמרות יום </t>
  </si>
  <si>
    <t xml:space="preserve">הקצבה לתאגיד תרבות להפעלת מועדון גיל הזהב </t>
  </si>
  <si>
    <t xml:space="preserve">תמיכה למוסדות בתחום איכות הסביבה </t>
  </si>
  <si>
    <t xml:space="preserve">שיקים שחזרו וחובות בהסדר </t>
  </si>
  <si>
    <t>קרן תאגוד מים וביוב</t>
  </si>
  <si>
    <t>א.3 מטרת התאגיד לפתח ולתפעל פרוייקטים בהרצליה ,ביניהם המרינה באזור החוף בהרצליה , טיילת החוף, קידום התיירות בעיר ואחרים.</t>
  </si>
  <si>
    <t>ב.3 מטרת החברה - לפתח, לתכנן ,להקים לבנות לייעץ ולעודד הקמת, תכנונם ובניתם של פרויקטים לקידומה ורווחתה של העיר הרצליה.</t>
  </si>
  <si>
    <t xml:space="preserve">ו.2  הנתונים הכספיים של העמותה הינם מדוח מבוקר לשנת 2015. </t>
  </si>
  <si>
    <t>עד 2012 ,לפיהם העירייה שילמה סך כחצי מליון ₪ בשנת 2015 .</t>
  </si>
  <si>
    <t>ביאור 12-החזר משנים קודמות</t>
  </si>
  <si>
    <t>ביאור 13-הוצאות בגין שנים קודמות</t>
  </si>
  <si>
    <t>ביאור 14- שעבודים ומשכונות</t>
  </si>
  <si>
    <t>ביאור 15 - שומות ניכויים</t>
  </si>
  <si>
    <t>ביאור 16 - רכישת רכוש קבוע במסגרת התקציב הרגיל</t>
  </si>
  <si>
    <t>ביאור 17 - עסקאות ליסינג</t>
  </si>
  <si>
    <t>ביאור 18 - ערבויות</t>
  </si>
  <si>
    <t xml:space="preserve">ביאור 19 - התחייבויות תלויות </t>
  </si>
  <si>
    <t xml:space="preserve">באור 20 - הפרשות שנכללו בדוחות </t>
  </si>
  <si>
    <t>ערבויות צמודות :</t>
  </si>
  <si>
    <t>תום תקופת הערבות</t>
  </si>
  <si>
    <t>בית משפט העליון</t>
  </si>
  <si>
    <t>ללא הגבלת זמן</t>
  </si>
  <si>
    <t>בית משפט המחוזי</t>
  </si>
  <si>
    <t xml:space="preserve">משרד התעשיה </t>
  </si>
  <si>
    <t>משרד התשתיות</t>
  </si>
  <si>
    <t>פקיד היערות</t>
  </si>
  <si>
    <t>השלמת כריתה והעברה</t>
  </si>
  <si>
    <t xml:space="preserve">החברה לפיתוח הרצליה </t>
  </si>
  <si>
    <t xml:space="preserve">בני הרצליה </t>
  </si>
  <si>
    <t>החברה לפיתוח תיירות</t>
  </si>
  <si>
    <t xml:space="preserve">העירייה בספריה , בסך כולל של 110,501 אלפי ₪ כדלהלן ( שנה קודמת - 100,575  אלפי ₪) : </t>
  </si>
  <si>
    <t>הכנסות פינוי פחים</t>
  </si>
  <si>
    <t>ועדת בנין עיר כפר שמריהו</t>
  </si>
  <si>
    <t>הכנסות שכ"ט עו"ד</t>
  </si>
  <si>
    <t>ביטול הקצבה מתנ"ס</t>
  </si>
  <si>
    <t>שונות</t>
  </si>
  <si>
    <t>אבטחת מוסדות חינוך</t>
  </si>
  <si>
    <t>השתתפות חוף ים 2014 - עיריית בני ברק</t>
  </si>
  <si>
    <t>הפרשה למקורות מעל הזכויות</t>
  </si>
  <si>
    <t>החברה למשק וכלכלה</t>
  </si>
  <si>
    <t>שכ"ט עו"ד</t>
  </si>
  <si>
    <t>הפרשה לרשות המים</t>
  </si>
  <si>
    <t>חניון</t>
  </si>
  <si>
    <t>ניהול מרכז אפולוניה</t>
  </si>
  <si>
    <t>החזר משנים קודמות (ראה ביאור 12)</t>
  </si>
  <si>
    <t>תעשיה- כולל מלאכה מאחר ואין במערכת הגביה פיצול בין תעשיה למלאכה. כמו כן, אין במערכת הגביה סיווג לנכסי מגורים שאינם בשימוש.</t>
  </si>
  <si>
    <t xml:space="preserve">ז.2 הנתונים הכספיים של העמותה הינם מדוח מבוקר לשנת 2015. </t>
  </si>
  <si>
    <t>-</t>
  </si>
  <si>
    <t xml:space="preserve">מניות בחברה מי הרצליה בע"מ </t>
  </si>
  <si>
    <t>קרנות למניות ושטרי הון בתאגידים עירוניים</t>
  </si>
  <si>
    <t>קרנות לניירות ערך בלתי סחירים</t>
  </si>
  <si>
    <t>קרנות למחסנים בלתי מתוקצבים</t>
  </si>
  <si>
    <t>קרנות להלוואות לעובדים ונזקקים</t>
  </si>
  <si>
    <t>הלוואה לתאגיד עירוני</t>
  </si>
  <si>
    <t>העברה מעודפים מצטברים בתקציב הרגיל</t>
  </si>
  <si>
    <t>השתתפות העודף המצטבר בתקציב השוטף</t>
  </si>
  <si>
    <t>והביוב.</t>
  </si>
  <si>
    <t xml:space="preserve">ב. הסכם להעברת נכסי מקרקעין - עיקרו העירייה מוכרת לתאגיד את נכסי המקרקעין אשר שימשו ערב הקמת התאגיד את משק המים </t>
  </si>
  <si>
    <t>*הערה: הסך הנ"ל כולל פיצויים בסך  5545 אלפי ש"ח</t>
  </si>
  <si>
    <t>הכנסות מממ"י</t>
  </si>
  <si>
    <t>יתרות זכות- התאמה בדוח מפורט</t>
  </si>
  <si>
    <t xml:space="preserve">משה פדלון </t>
  </si>
  <si>
    <t xml:space="preserve">גולן זריהן </t>
  </si>
  <si>
    <t>כספי ההשקעה המיועדת למטרה זו הופקדו בחשבון נפרד בקופת גמל מרכזית להשתתפות בפנסיה תקציבית (להלן - "היעודה"). היעודה כוללת רווחים שהצטברו עד לתאריך הדוח הכספי.</t>
  </si>
  <si>
    <t xml:space="preserve">ביאור 8 - מפעל המים והביוב </t>
  </si>
  <si>
    <t xml:space="preserve">תאגיד מפעל המים והביוב מי הרצליה החל את פעילותו ביום 1.9.2009. מיום זה ואילך מפעל המים ומפעל הביוב מנוהלים </t>
  </si>
  <si>
    <t>ע"י התאגיד. גביות המים והביוב הינם בגין חובות ישנים.</t>
  </si>
  <si>
    <t>ג.6 בשנת הדוח הייתה קנית שירותים  בסך של 2 אלפי ₪.</t>
  </si>
  <si>
    <t>השתתפות בהפעלת ביה"ד למשמעת ב.מ.ש.מ</t>
  </si>
  <si>
    <t>גורדון אומנויות (השתתפות בהסעות)</t>
  </si>
  <si>
    <t xml:space="preserve">הקצבה לתאגיד תרבות להפעלת תוכנית גיל השלישי </t>
  </si>
  <si>
    <t>השתתפויות לפי חוקים ותקנות</t>
  </si>
  <si>
    <t>סכומים שטרם הופקדו בגין 12/15</t>
  </si>
  <si>
    <t>סכומים שטרם הופקדו בגין 12/14</t>
  </si>
  <si>
    <t>העירייה משקיעה מעבר למתחייב</t>
  </si>
  <si>
    <t>נובע בעיקר מפנסיה חינוך ורווחה</t>
  </si>
  <si>
    <t>(*) הון עצמי במאזן התאגיד על פי הדוחות הכספיים המבוקרים לשנת 2015.</t>
  </si>
  <si>
    <t>להלן הגופים שבבעלות העירייה או שלעירייה יש ענין כלכלי בהם:</t>
  </si>
  <si>
    <t>העירייה</t>
  </si>
  <si>
    <t>ההלוואה צמודה לשער הדולר של ארה"ב או למדד המחירים לצרכן כנמוך שבהם ונושאת ריבית צמודה בשיעור של 2% לשנה.</t>
  </si>
  <si>
    <r>
      <t xml:space="preserve">א. </t>
    </r>
    <r>
      <rPr>
        <b/>
        <u/>
        <sz val="10"/>
        <rFont val="Arial"/>
        <family val="2"/>
      </rPr>
      <t>החברה העירונית לפיתוח תיירות בהרצליה בע"מ</t>
    </r>
    <r>
      <rPr>
        <b/>
        <sz val="10"/>
        <rFont val="Arial"/>
        <family val="2"/>
      </rPr>
      <t xml:space="preserve"> </t>
    </r>
  </si>
  <si>
    <t>א.2 הנתונים הכספיים של החברה הינם מדוח כספי מבוקר לשנת 2015.</t>
  </si>
  <si>
    <t xml:space="preserve">א.5 בספרי העירייה ליום 31 בדצמבר 2015 קיימת יתרה לחובת התאגיד בסך 6 אלפי ₪. </t>
  </si>
  <si>
    <r>
      <rPr>
        <b/>
        <sz val="10"/>
        <rFont val="Arial"/>
        <family val="2"/>
      </rPr>
      <t xml:space="preserve">ב. </t>
    </r>
    <r>
      <rPr>
        <b/>
        <u/>
        <sz val="10"/>
        <rFont val="Arial"/>
        <family val="2"/>
      </rPr>
      <t xml:space="preserve">החברה לפיתוח הרצליה בע"מ </t>
    </r>
  </si>
  <si>
    <t>א.7 בשנת הדוח חולטה ערבות של צד ג' לטובת העירייה והתאגיד בסך 1,936 אלפי ₪ בהתאם לפס"ד שהתקבל בבית המשפט העליון.</t>
  </si>
  <si>
    <t>ב.5 בספרי העירייה ליום 31 בדצמבר 2015 קיימת יתרה לזכות התאגיד בסך 18,128 אלפי ₪.</t>
  </si>
  <si>
    <r>
      <rPr>
        <b/>
        <sz val="10"/>
        <rFont val="Arial"/>
        <family val="2"/>
      </rPr>
      <t xml:space="preserve">ג. </t>
    </r>
    <r>
      <rPr>
        <b/>
        <u/>
        <sz val="10"/>
        <rFont val="Arial"/>
        <family val="2"/>
      </rPr>
      <t>מרכז קהילתי לספורט תרבות ונופש בהרצליה</t>
    </r>
    <r>
      <rPr>
        <sz val="10"/>
        <rFont val="Arial"/>
        <family val="2"/>
      </rPr>
      <t xml:space="preserve"> </t>
    </r>
  </si>
  <si>
    <t>ההלוואה תיפרע במידה ויהיו עודפים בחברה. ההלוואה רשומה בספרי העירייה בחשבונות מקבילים.</t>
  </si>
  <si>
    <t>ג.5 בספרי החברה ליום 31 בדצמבר 2015 קיימת הלוואה שהתקבלה מהעירייה בסך 156 אלפי ₪.</t>
  </si>
  <si>
    <r>
      <t xml:space="preserve">ד. </t>
    </r>
    <r>
      <rPr>
        <b/>
        <u/>
        <sz val="10"/>
        <rFont val="Arial"/>
        <family val="2"/>
      </rPr>
      <t>החברה לאומנות ותרבות הרצליה בע"מ (חל"צ)</t>
    </r>
    <r>
      <rPr>
        <b/>
        <sz val="10"/>
        <rFont val="Arial"/>
        <family val="2"/>
      </rPr>
      <t xml:space="preserve"> </t>
    </r>
  </si>
  <si>
    <r>
      <t xml:space="preserve">ה. </t>
    </r>
    <r>
      <rPr>
        <b/>
        <u/>
        <sz val="10"/>
        <rFont val="Arial"/>
        <family val="2"/>
      </rPr>
      <t>עמותת בני הרצליה (ע"ר)</t>
    </r>
    <r>
      <rPr>
        <b/>
        <sz val="10"/>
        <rFont val="Arial"/>
        <family val="2"/>
      </rPr>
      <t xml:space="preserve"> </t>
    </r>
  </si>
  <si>
    <r>
      <t xml:space="preserve">ו. </t>
    </r>
    <r>
      <rPr>
        <b/>
        <u/>
        <sz val="10"/>
        <rFont val="Arial"/>
        <family val="2"/>
      </rPr>
      <t>אנסמבל תאטרון הרצליה (ע"ר)</t>
    </r>
    <r>
      <rPr>
        <b/>
        <sz val="10"/>
        <rFont val="Arial"/>
        <family val="2"/>
      </rPr>
      <t xml:space="preserve"> </t>
    </r>
  </si>
  <si>
    <t xml:space="preserve">ו.3 מטרות העמותה - לקיים תאטרון שיפיק ויציג מחזות ויצירות תאטרון, לקדם ולקיים פעילות חינוכית ותרבותית בהרצליה. </t>
  </si>
  <si>
    <t>ה.3 מטרת העמותה - פעילות לקידום נושא הספורט והחינוך הבלתי פורמלי בתחומה של העיר הרצליה.</t>
  </si>
  <si>
    <t xml:space="preserve">ד.7 קניית שירותים מהעירייה הייתה בסך 222  אלפי ₪ , מכירת שירותים לעירייה הייתה בסך 2,391 אלפי ₪. </t>
  </si>
  <si>
    <t>א.4 עיריית הרצליה מחזיקה 100% מהמניות.</t>
  </si>
  <si>
    <t>א.6 קנית שירותים הייתה בסך 2,046 אלפי ₪ ,מכירת שירותים לעירייה הייתה בסך  3,510 אלפי ₪.</t>
  </si>
  <si>
    <t xml:space="preserve">ב.1 החברה לפיתוח הרצליה הוקמה בשנת 1994. </t>
  </si>
  <si>
    <t>ב.2 הנתונים הכספיים של החברה הינם מדוח כספי מבוקר לשנת 2015.</t>
  </si>
  <si>
    <t>ב.4 עיריית הרצליה מחזיקה ב 100% מהמניות של החברה.</t>
  </si>
  <si>
    <t>ב.6 מכירת שירותים לעירייה הייתה בסך 46,246 אלפי ₪.</t>
  </si>
  <si>
    <t xml:space="preserve">ג.1 החברה מרכז קהילתי לספורט תרבות ונופש בהרצליה בע"מ הוקמה בשנת 1979. </t>
  </si>
  <si>
    <t xml:space="preserve">ג.2 הנתונים הכספיים של החברה הינם מדוח מבוקר לשנת 2015. </t>
  </si>
  <si>
    <t>ג.3 מטרת החברה - להקים ולנהל מרכז קהילתי לתרבות נופש ספורט לתועלתם של תושבי הרצליה.</t>
  </si>
  <si>
    <t xml:space="preserve">ג.4 עיריית הרצליה מחזיקה ב- 99% ממניות החברה. </t>
  </si>
  <si>
    <t>ד.1 החברה לאומנות ותרבות הרצליה בע"מ הוקמה בשנת 2006.</t>
  </si>
  <si>
    <t xml:space="preserve">ד.2  ינואר 2008 נרשמה החברה ברשם ההקדשות כחברה לתועלת הציבור. </t>
  </si>
  <si>
    <t>ד.3 הנתונים הכספיים של החברה הינם מדוח כספי מבוקר לשנת 2015.</t>
  </si>
  <si>
    <t>ד.4 מטרות החברה הן תכנון , הקמת , הפעלת , וניהול מבנים מוסדות ומתקני תרבות לרווחת העיר הרצליה ותושביה.</t>
  </si>
  <si>
    <t xml:space="preserve">ד.5 עיריית הרצליה מחזיקה ב 100% מהמניות. </t>
  </si>
  <si>
    <t xml:space="preserve">ה.1 עמותת בני הרצליה הוקמה בשנת 1985. </t>
  </si>
  <si>
    <t>ה.2 הנתונים הכספיים של העמותה הינם מדוח מבוקר לשנת 2015.</t>
  </si>
  <si>
    <t>ה.5 קנית שירותים מהעירייה הייתה בסך 1,021 אלפי ₪, מכירת שירותים לעירייה הייתה בסך 1,936 אלפי ₪.</t>
  </si>
  <si>
    <t>ו.6 בשנת 2014 הופסקה פעילות האנסמבל.</t>
  </si>
  <si>
    <r>
      <t xml:space="preserve">ז. </t>
    </r>
    <r>
      <rPr>
        <b/>
        <u/>
        <sz val="10"/>
        <rFont val="Arial"/>
        <family val="2"/>
      </rPr>
      <t>עמותה למען גילאי הזהב בהרצליה - בית הורים (ע"ר)</t>
    </r>
    <r>
      <rPr>
        <b/>
        <sz val="10"/>
        <rFont val="Arial"/>
        <family val="2"/>
      </rPr>
      <t xml:space="preserve"> </t>
    </r>
  </si>
  <si>
    <t>ו.4 בשנת 2015 אין תיקצוב של העירייה לתאגיד.</t>
  </si>
  <si>
    <t xml:space="preserve">ז.1 העמותה הוקמה בשנת 1982, העמותה אושרה כתאגיד עירוני בדצמבר 2007. </t>
  </si>
  <si>
    <t>ו.5 בספרי העירייה בשנת 2015 אין יתרה לתאגיד.</t>
  </si>
  <si>
    <t>ה.4 בספרי העירייה ליום 31 בדצמבר 2015 קיימת יתרה לזכות התאגיד בסך 319 אלפי ₪.</t>
  </si>
  <si>
    <t xml:space="preserve">ז.4 בספרי העירייה לשנת 2015 קיימת יתרה לחובת התאגיד של 27 אלפי ₪. </t>
  </si>
  <si>
    <r>
      <t xml:space="preserve">ח. </t>
    </r>
    <r>
      <rPr>
        <b/>
        <u/>
        <sz val="10"/>
        <rFont val="Arial"/>
        <family val="2"/>
      </rPr>
      <t>בית העלמין הרצליה (ע"ר)</t>
    </r>
    <r>
      <rPr>
        <b/>
        <sz val="10"/>
        <rFont val="Arial"/>
        <family val="2"/>
      </rPr>
      <t xml:space="preserve"> </t>
    </r>
  </si>
  <si>
    <t>ח.1 עמותת בית העלמין הרצליה הוקמה בשנת 2012.</t>
  </si>
  <si>
    <r>
      <t xml:space="preserve">ט. </t>
    </r>
    <r>
      <rPr>
        <b/>
        <u/>
        <sz val="10"/>
        <rFont val="Arial"/>
        <family val="2"/>
      </rPr>
      <t xml:space="preserve">על"ה הרצליה - עמותה למען הקשיש (ע"ר) </t>
    </r>
  </si>
  <si>
    <t xml:space="preserve">ז.3 מטרת העמותה - להקים ולנהל בהרצליה בית הורים לקשישים וגימלאים תושבי העיר. </t>
  </si>
  <si>
    <t xml:space="preserve">ח.2 מטרות העמותה לתכנן , להקים , לפעול ולנהל בית עלמין בהרצליה. </t>
  </si>
  <si>
    <t xml:space="preserve">ח.4 הנתונים הכספיים של התאגיד הינם מדוח כספי מבוקר לשנת 2015. </t>
  </si>
  <si>
    <t xml:space="preserve">ח.5 קניית שירותים מהעירייה הייתה בסך 20 אלפי ₪  ומכירת השירותים לעירייה הייתה בסך 130 אלפי ₪. </t>
  </si>
  <si>
    <t>ט.2 מטרות העמותה הינן איגוד הקשישים בהרצליה ושילובם בחיי הקהילה והחברה , וייזום ותכנון והקמה של שירותים הנחוצים לקשישים.</t>
  </si>
  <si>
    <t xml:space="preserve">ט.6 קניית השירותים מהעירייה הייתה בסך 74 אלפי ₪, ומכירת שירותים לעירייה הייתה בסך  974 אלפי ₪. </t>
  </si>
  <si>
    <t xml:space="preserve">ט.1 העמותה נוסדה בשנת 1984. בשנת 2014 הוסדר מעמדה של העמותה כתאגיד עירוני. </t>
  </si>
  <si>
    <t>ט.3 העירייה חברה בעמותה ובכל עת יהיו לה 51% מסך קולות ההצבעה באסיפה הכללית.</t>
  </si>
  <si>
    <t xml:space="preserve">ט.4 הנתונים הכספיים של העמותה הינם מדוח מבוקר לשנת 2015. </t>
  </si>
  <si>
    <r>
      <rPr>
        <b/>
        <sz val="10"/>
        <rFont val="Arial"/>
        <family val="2"/>
      </rPr>
      <t xml:space="preserve">י. </t>
    </r>
    <r>
      <rPr>
        <b/>
        <u/>
        <sz val="10"/>
        <rFont val="Arial"/>
        <family val="2"/>
      </rPr>
      <t>מי הרצליה בע"מ</t>
    </r>
    <r>
      <rPr>
        <b/>
        <sz val="10"/>
        <rFont val="Arial"/>
        <family val="2"/>
      </rPr>
      <t xml:space="preserve"> </t>
    </r>
  </si>
  <si>
    <t>ח.3 בספרי העירייה ליום 31 בדצמבר 2015 קיימת יתרה לזכות  התאגיד בסך 10 אלפי ₪.</t>
  </si>
  <si>
    <t>ט.5 בספריי העירייה לשנת 2015  קיימת יתרה לזכות התאגיד בסך 130 אלפי ₪.</t>
  </si>
  <si>
    <t xml:space="preserve">י.5 בשנת 2012 השקיעה העירייה 2,882 אלפי ₪ נוספים במניות התאגיד. </t>
  </si>
  <si>
    <t xml:space="preserve">הקרן בצירוף הריבית הייתה אמורה להיות משולמת על פני 15 שנה , ההלוואה כולה (כולל ריבית) נפרעה בשנת 2010 בסך </t>
  </si>
  <si>
    <t xml:space="preserve">ההלוואה ניתנה ביום 1.9.2009 ע"ס 77,856 אלפי ₪, קרן ההלוואה צמודה למדד ונושאת ריבית שנתית ראלית בשיעור 5% לשנה . </t>
  </si>
  <si>
    <t xml:space="preserve">ג. הסכם להעברת נכסי מטלטלין - עיקרו, העירייה מוכרת לתאגיד את נכסי המטלטלין אשר שימשו ערב הקמת התאגיד את משק המים </t>
  </si>
  <si>
    <t xml:space="preserve">עמלה ושירותי מוקד תמורת תשלום. בשנת 2013 נחתם הסכם בין העירייה לתאגיד לפיו תוקן ההסכם לאספקת שירותים בכך שהעירייה </t>
  </si>
  <si>
    <t xml:space="preserve">והביוב וזאת בתמורה הבאה: 60% בעלות מניות, 5% שטר הון נדחה שאינו נושא ריבית וללא מועד פרעון, בנוסף הושאלו עובדי משק </t>
  </si>
  <si>
    <t>80,605 אלפי ₪  (כולל ריבית).שטר ההון הינו בסכום של כ 11 מיליוני ₪. סך</t>
  </si>
  <si>
    <t xml:space="preserve">המים והביוב לתאגיד לתקופה של 3 שנים לכל הפחות. </t>
  </si>
  <si>
    <t xml:space="preserve">י. 7 קנית שירותים מהעירייה בשנת 2015 בסך 16,670 אלפי ₪, ומכירת שירותים לעירייה הייתה בסך 20,606 אלפי  ₪. </t>
  </si>
  <si>
    <t xml:space="preserve">ביום 21.7.2015 החליטה מועצת העיר לאשר הקמת חברה למרכזים קהילתיים (חל"צ) כתאגיד עירוני וכן לאשר את תקנון החברה. </t>
  </si>
  <si>
    <t>הפרשות מעסיק- מצ"ב ני"ע</t>
  </si>
  <si>
    <t>אין</t>
  </si>
  <si>
    <t>תקציב העירייה אושר בתחילה במועצת העיר ביום 25.11.2014. במהלך השנה בוצעו עידכונים לתקציב .</t>
  </si>
  <si>
    <t>פרעון מלוות (כולל קרן , ריבית והפרשי הצמדה) שזמן פרעונם הגיע, לפי לוחות סילוקין, נזקף כהוצאה בתקציב הרגיל, גם אם לא שולמו בפועל.</t>
  </si>
  <si>
    <t>בהתאם לשומה מכרעת מיום 6.1.2015 החזירה העירייה לרוכש הנכס סך של כ- 53 אלפי ₪ מתשלום ההשבחה בשנת 2015 .</t>
  </si>
  <si>
    <t xml:space="preserve">לעירייה  הוצאו שומות ניכויים עד וכולל שנת המס 2012 .השומות הופקו בחודשים דצמבר 2014 וינואר 2015 התייחסו לשנים 2010 </t>
  </si>
  <si>
    <t>להלן ריכוז ערבויות שניתנו ע"י העירייה כשהן משוערכות נכון ל -31 בדצמבר 2015</t>
  </si>
  <si>
    <t>נובע בעיקר מפיצויים בגין פנסיונרים - מצ"ב ני"ע</t>
  </si>
  <si>
    <t>נובע  מפיצויים בגין רווחה</t>
  </si>
  <si>
    <t>נובע מפיצויים בגין חינוך</t>
  </si>
  <si>
    <t>הפרשה דמי שימוש חברה לפיתוח משותף</t>
  </si>
  <si>
    <t>הפרשה להתחייבויות תלויות (ראה ביאור 19)</t>
  </si>
  <si>
    <t xml:space="preserve">הפרשה בגין התחייבויות תלויות </t>
  </si>
  <si>
    <t xml:space="preserve">א. על פי נתוני היועצת המשפטית לעירייה ונתוני יועצים משפטיים חיצוניים המייצגים את העירייה , תלויות ועומדות כנגד העירייה  </t>
  </si>
  <si>
    <t xml:space="preserve">נכון ליום 31 בדצמבר 2015 תביעות שאינן בתחום הכיסוי של פוליסות ביטוח בסך של כ- 479 מיליון ₪ . </t>
  </si>
  <si>
    <t>סכומי התביעות שצויינו אינו כוללים הפרשי הצמדה וריבית ממועדי הגשת התביעות ועד לתאריך המאזן.</t>
  </si>
  <si>
    <t xml:space="preserve">מכתבי היועצים המשפטיים כללו בין השאר את התביעות הבאות  : </t>
  </si>
  <si>
    <t xml:space="preserve">להערכת היועצים המשפטיים אומדן הסיכון עבור התביעות הנ"ל הסתכם בכ - 34 מיליון ₪ . </t>
  </si>
  <si>
    <t>ב. בספרי העירייה נכללה הפרשה לתביעות עתידיות בגין הפקעות מקרקעין בסך 33 מיליון ₪, בהתאם לאמדן שערכה  הנהלת העירייה.</t>
  </si>
  <si>
    <t>קפה חוף הים</t>
  </si>
  <si>
    <t>חובשים 2011-2013</t>
  </si>
  <si>
    <t xml:space="preserve">                                                                                                            שטראוס לזר ושות'</t>
  </si>
  <si>
    <t>בעיקר נובע משיקים חוזרים</t>
  </si>
  <si>
    <t>תקבולים בגין חכירה וזכיונות</t>
  </si>
  <si>
    <t>העסקת כח אדם באמצעות חברות השמה</t>
  </si>
  <si>
    <t>ביאור 21</t>
  </si>
  <si>
    <t>העירייה שוכרת 16 כלי רכב בהתאם לשמונה חוזים, אשר המאוחר בהם מסתיים בספטמבר 2018.</t>
  </si>
  <si>
    <t>4-5</t>
  </si>
  <si>
    <t>9-10</t>
  </si>
  <si>
    <t>34</t>
  </si>
  <si>
    <t>35</t>
  </si>
  <si>
    <t>36</t>
  </si>
  <si>
    <t>37</t>
  </si>
  <si>
    <t>38</t>
  </si>
  <si>
    <t>39</t>
  </si>
  <si>
    <t>40</t>
  </si>
  <si>
    <t>41</t>
  </si>
  <si>
    <t>42</t>
  </si>
  <si>
    <t>הפרשה להלוואה לחברה לפיתוח</t>
  </si>
  <si>
    <t>(דוח 2014)160,422</t>
  </si>
  <si>
    <t>י.4 בספרי העירייה ליום 31 בדצמבר 2015 קיימת יתרה לחובת התאגיד בסך 882 אלפי ₪.</t>
  </si>
  <si>
    <r>
      <t xml:space="preserve">יא. </t>
    </r>
    <r>
      <rPr>
        <b/>
        <u/>
        <sz val="10"/>
        <rFont val="Arial"/>
        <family val="2"/>
      </rPr>
      <t xml:space="preserve">החברה למרכזים קהילתיים הרצליה בע"מ (חל"צ) </t>
    </r>
  </si>
  <si>
    <t>משרד הפנים אישר ייסוד התאגיד ביום 12 באוגוסט 2015.</t>
  </si>
  <si>
    <t>ד.6 בספרי העירייה ליום 31 בדצמבר 2015 קיימת יתרת זכות של התאגיד בסך 423 אלפי ₪.</t>
  </si>
  <si>
    <t>אלפי ₪</t>
  </si>
  <si>
    <t>היטלי השבחה - בוצע רישום חיוב בסך 32,684 אלפי ₪ אשר לא נכלל במאזן הגביה של העירייה, וזאת כנגד תשלומים ע"ח היטלי השבחה מראש.</t>
  </si>
  <si>
    <t>גידול מצבת כ"א עירונית</t>
  </si>
  <si>
    <t>ביקרנו את המאזנים המצורפים של עיריית הרצליה (להלן -"העירייה")  לימים 31 בדצמבר 2015 ו- 2014 ואת ריכוז תקבולים ותשלומים של התקציב הרגיל לפי פרקי תקציב, ריכוז תקבולים ותשלומים של התקציב הבלתי הרגיל וריכוז תקבולים ותשלומים  של התקציב הרגיל, הבלתי הרגיל וקרן לעבודות פיתוח לכל אחת מהשנים שהסתיימו באותם תאריכים (להלן: "דוחות כספיים"). דוחות כספיים אלה הינם באחריות ראש העירייה וגזבר העירייה. אחריותנו היא לחוות דיעה על דוחות כספיים אלה בהתבסס על ביקורתנו.</t>
  </si>
  <si>
    <t>ערכנו את ביקורתנו בהתאם לתקני ביקורת מקובלים בישראל, לרבות תקנים שנקבעו בתקנות רואי חשבון (דרך פעולתו של רואה חשבון), התשל"ג-1973. על-פי תקנים אלה נדרש מאיתנו לתכנן את הביקורת ולבצעה במטרה להשיג מידה סבירה של ביטחון שאין בדוחות הכספיים הצגה מוטעית מהותית בהתאם להנחיות. ביקורת כוללת בדיקה מדגמית של ראיות התומכות בסכומים ובמידע שבדוחות הכספיים. ביקורתנו כללה גם בחינה של יישום הכללים שנקבעו בהנחיות ושל האומדנים המשמעותיים שנעשו על ידי ראש העירייה וגזבר העירייה  וכן הערכת נאותות ההצגה בדוחות הכספיים בכללותה בהתאם להנחיות. אנו סבורים שביקורתנו מספקת בסיס נאות לחוות דעתנו.</t>
  </si>
  <si>
    <r>
      <t xml:space="preserve">לדעתנו, הדוחות הכספיים הנ"ל משקפים באופן נאות בהתאם להנחיות, מכל הבחינות המהותיות, את מצבה הכספי של העירייה לימים 31 בדצמבר 2015 ו- 2014  ואת התקבולים, התשלומים </t>
    </r>
    <r>
      <rPr>
        <sz val="10"/>
        <color rgb="FF0000FF"/>
        <rFont val="Arial"/>
        <family val="2"/>
      </rPr>
      <t xml:space="preserve">והעודף </t>
    </r>
    <r>
      <rPr>
        <sz val="10"/>
        <rFont val="Arial"/>
        <family val="2"/>
      </rPr>
      <t xml:space="preserve">מפעולותיה לכל אחת מהשנים שהסתיימו באותם תאריכים. </t>
    </r>
  </si>
  <si>
    <t>2 (ו),21</t>
  </si>
  <si>
    <t>פקדונות בבנקים כוללים ריבית והפרשי הצמדה שהצטברו עד לתאריך הדוח הכספי .</t>
  </si>
  <si>
    <t>החובות המסופקים והחובות למחיקה נקבעו בהתאם לאמדן שערכה הנהלת העירייה על פי סוגי החיובים ועומק תקופות החוב.</t>
  </si>
  <si>
    <t>נוסף מנהל אגף ביטחון</t>
  </si>
  <si>
    <t>בעקבות הקלות שביקש רוכש נכס משנת 2013, שילם הרוכש לעירייה בשנת 2014 השבחה בסך של כ- 647 אלפי ₪ .</t>
  </si>
  <si>
    <t>תאריך</t>
  </si>
  <si>
    <t>נכס</t>
  </si>
  <si>
    <t>שנים</t>
  </si>
  <si>
    <t>להלן פירוט השעבודים והמשכונות עליהם חתמה העירייה בהתאם לאישור מרשם המשכונות מיום 15 במרץ 2016:</t>
  </si>
  <si>
    <t>נושה</t>
  </si>
  <si>
    <t>2.12.1999</t>
  </si>
  <si>
    <t>כל ההכנסות העצמאיות וכל יתר הסכומים מכל סוג שהוא עד לסך של 2 מיליון ₪ צמודים למדד המחירים לצרכן</t>
  </si>
  <si>
    <t>12.4.2000</t>
  </si>
  <si>
    <t>בנק לאומי לישראל בע"מ</t>
  </si>
  <si>
    <t>בנק דקסיה ישראל בע"מ</t>
  </si>
  <si>
    <t>כל הכנסות העירייה וכל יתר הסכומים מכל מין וסוג שהוא עד לסך של 20 מיליון ₪</t>
  </si>
  <si>
    <t>13.4.2000</t>
  </si>
  <si>
    <t>בנק הפועלים בע"מ</t>
  </si>
  <si>
    <t>כל הכנסות העירייה וכל יכספים וזכויות אחרים למעט כספים שמקורם מתקציב המדינה</t>
  </si>
  <si>
    <t>29.5.2000</t>
  </si>
  <si>
    <t>בנק אגוד לישראל בע"מ</t>
  </si>
  <si>
    <t xml:space="preserve">משכון זכויות חוזיות </t>
  </si>
  <si>
    <t>7.6.2000</t>
  </si>
  <si>
    <t>כל הכנסות העירייה וכל יתר הסכומים מכל מין וסוג שהוא עד לסך של 12 מיליון ₪</t>
  </si>
  <si>
    <t>25.6.2000</t>
  </si>
  <si>
    <t>בנק מזרחי טפחות בע"מ</t>
  </si>
  <si>
    <t>כל ההכנסות העצמיות מכל מין וסוג שהוא וכל כספים וזכויות אחרים, זכויות מקרקעין</t>
  </si>
  <si>
    <t>8.3.2001</t>
  </si>
  <si>
    <t>כל הכנסות העירייה וכל יתר הסכומים מכל מין וסוג שהוא עד לסך של 10 מיליון ₪</t>
  </si>
  <si>
    <t>5.7.2001</t>
  </si>
  <si>
    <t>כל ההכנסות מכל מין וסוג למעט כספים שמקורם בתקציב המדינה, כל הכספים והזכויות ותשלומים אחרים</t>
  </si>
  <si>
    <t>20.10.2002</t>
  </si>
  <si>
    <t>כל ההכנסות העצמאיות וכל יתר הסכומים מכל סוג שהוא עד לסך של 200 אלפי ₪ צמודים למדד המחירים לצרכן</t>
  </si>
  <si>
    <t>3.3.2003</t>
  </si>
  <si>
    <t>כל ההכנסות העצמיות מכל מין וסוג שהוא וכל כספים וזכויות אחרים למעט כספים שמקורם בתקציב המדינה  עד לסך של 10 מיליון ₪</t>
  </si>
  <si>
    <t>בנק דיסקונט לישראל בע"מ</t>
  </si>
  <si>
    <t>8.9.2003</t>
  </si>
  <si>
    <t xml:space="preserve">כל הכספים ההכנסות והזכויות הכספיות מכל מין וסוג שהוא </t>
  </si>
  <si>
    <t>21.9.2003</t>
  </si>
  <si>
    <t>כל ההכנסות מכל מין וסוג שהוא למעט כספים שמקורם בתקציב המדינה</t>
  </si>
  <si>
    <t>8.3.2005</t>
  </si>
  <si>
    <t>כל ההכנסות העצמאיות וכל יתר הסכומים מכל סוג שהוא עד לסך של 17 מיליון ₪ צמודים למדד המחירים לצרכן</t>
  </si>
  <si>
    <t>4.4.2005</t>
  </si>
  <si>
    <t>זכויות מקרקעין, זכויות על פי הסכם מקרקעין והסכם הפעלה</t>
  </si>
  <si>
    <t>7.6.2006</t>
  </si>
  <si>
    <t>כל הכנסות העירייה וכל יתר הסכומים מכל מין וסוג שהוא עד לסך של 42.776 מיליון ₪</t>
  </si>
  <si>
    <t>17.5.2007</t>
  </si>
  <si>
    <t>כל הכנסות העירייה ממיסים, ארנונות וכל זכויות הביטוח מכל מין וסוג שהוא לגביהם</t>
  </si>
  <si>
    <t>22.10.2007</t>
  </si>
  <si>
    <t>כל ההכנסות העצמאיות וכל יתר הסכומים מכל סוג שהוא עד לסך של 15 מיליון ₪ צמודים למדד המחירים לצרכן</t>
  </si>
  <si>
    <t>12.5.2009</t>
  </si>
  <si>
    <t>כל הכנסות העירייה ממיסים ארנונות</t>
  </si>
  <si>
    <t>24.4.2012</t>
  </si>
  <si>
    <t>מפעל הפיס</t>
  </si>
  <si>
    <t>אגרות חוב לשעבוד מענקים לשנים 2009-2010</t>
  </si>
  <si>
    <t>3.3.2013</t>
  </si>
  <si>
    <t>אגרת חוב לשעבוד מענק לשנת 2012</t>
  </si>
  <si>
    <t>12.5.2014</t>
  </si>
  <si>
    <t>כל הכנסות העירייה עד לגובה הסכומים המובטחים ובכלל זה הלוואה בסכום קרן של 15.133 מיליון ₪. בנוסף המחאת חיובים את ההכנסות הממושכנות</t>
  </si>
  <si>
    <t>21.12.2014</t>
  </si>
  <si>
    <t>אגרת חוב לשעבוד מענק</t>
  </si>
  <si>
    <t>העדכון האחרון בתקציב אושר במועצת העיר ביום 15.3.2016.</t>
  </si>
  <si>
    <t>בשנת 2015 העירייה רכשה במסגרת התקציב הרגיל רכוש קבוע בסך של כ- 1,330 אלפי ₪.</t>
  </si>
  <si>
    <t>דמי השכירות השנתיים הינם בסך של כ - 393 אלפי ₪.</t>
  </si>
  <si>
    <t>א. תביעות לתשלום פיצויים על פי הוראות סעיף 197 לחוק התכנון והבניה , התשכ"ה (1965), המסתכמות לסך של כ - 13 מיליון ₪.</t>
  </si>
  <si>
    <t>ג. עררים ומכתבי דרישה להשבה של ארנונה והיטלים שונים ששולמו לעירייה המסתכמים לסך של כ- 86 מיליון ₪.</t>
  </si>
  <si>
    <t>ב. תביעות בגין הפקעות מקרקעין המסתכמות לסך של כ- 172 מיליון ₪.</t>
  </si>
  <si>
    <t>ד. תביעות נזיקין ואחרות המסתכמים לסך של כ - 208 מיליון ₪.</t>
  </si>
  <si>
    <t>ביאור 21 - השקעות מיועדות לכיסוי קרנות לעבודות פיתוח ולעודפים זמניים בתקבולים בלתי רגילים</t>
  </si>
  <si>
    <t>פקדונות לזמן קצוב</t>
  </si>
  <si>
    <t>הסכם פשרה תביעת נזיקין</t>
  </si>
  <si>
    <t>11-25</t>
  </si>
  <si>
    <t>26-30</t>
  </si>
  <si>
    <t>31</t>
  </si>
  <si>
    <t>32-33</t>
  </si>
  <si>
    <t>43</t>
  </si>
  <si>
    <t>44-45</t>
  </si>
  <si>
    <t>(*) העברה מתקציב רגיל כולל 14.661 מיליון ₪ העברה מיתרת העודף המצטבר לתחילת שנה, 25 מיליון ₪ העברה מתקציב רגיל.</t>
  </si>
  <si>
    <t xml:space="preserve">א. התחייבות העירייה בגין ימי חופשה נצברים של עובדיה מסתכמת לתאריך המאזן לסך 13,179 אלפי ש"ח, (ליום 31 בדצמבר 2014 - 12,140 אלפי ש"ח). </t>
  </si>
  <si>
    <t>ב. התחייבות העירייה בגין פיצויי פיטורין לעובדים המועסקים בתנאי פנסיה צוברת אשר אינה מכוסה על ידי הפקדות מיועדות מסתכמת לתאריך המאזן בסך 8,664 אלפי ש"ח (ליום 31 בדצמבר 2014 - 6,929 אלפי ש"ח).</t>
  </si>
  <si>
    <t>ג. התחייבות העירייה בגין צבירת ימי מחלה של עובדיה שמעל גיל 50 מסתכמת לתאריך המאזן לסך 17,560 אלפי ש''ח (ליום 31 בדצמבר 2014 - 17,659 אלפי ש"ח).</t>
  </si>
  <si>
    <t xml:space="preserve"> העירייה כללה בדוחות הכספיים בסעיף הוצאות מתוקצבות שטרם שולמו הפרשה בסך של כ - 73 מיליון ₪.</t>
  </si>
  <si>
    <t>מבלי לסייג את חוות דעתנו אנו מפנים את תשומת הלב לביאור 19 לדוחות הכספיים ,שעניינו התחייבויות תלויות .</t>
  </si>
  <si>
    <t>בניכוי- השקעות מיועדות לכיסוי קרנות לעבודות פיתוח ועודפים זמניים בתב"רים</t>
  </si>
  <si>
    <r>
      <t xml:space="preserve"> </t>
    </r>
    <r>
      <rPr>
        <u/>
        <sz val="10"/>
        <rFont val="Arial"/>
        <family val="2"/>
      </rPr>
      <t>הרכב:</t>
    </r>
  </si>
  <si>
    <t>אגרות חוב ממשלתיות וקונצרניות</t>
  </si>
  <si>
    <t>סה"כ השקעות באג"ח סחירות נטו</t>
  </si>
  <si>
    <t>הוצאות בגין שנים קודמות (ראה ביאור 13)</t>
  </si>
  <si>
    <t>18.8.2016</t>
  </si>
  <si>
    <t>18 באוגוסט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</si>
</sst>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 #,##0_ ;_ * \-#,##0_ ;_ * &quot;-&quot;_ ;_ @_ "/>
    <numFmt numFmtId="43" formatCode="_ * #,##0.00_ ;_ * \-#,##0.00_ ;_ * &quot;-&quot;??_ ;_ @_ "/>
    <numFmt numFmtId="164" formatCode="_(&quot;$&quot;* #,##0_);_(&quot;$&quot;* \(#,##0\);_(&quot;$&quot;* &quot;-&quot;_);_(@_)"/>
    <numFmt numFmtId="165" formatCode="#,##0;\(#,##0\)"/>
    <numFmt numFmtId="166" formatCode="0.0"/>
    <numFmt numFmtId="167" formatCode="0.0%"/>
    <numFmt numFmtId="168" formatCode="###0"/>
    <numFmt numFmtId="169" formatCode="#,##0;[Red]\(#,##0\)"/>
    <numFmt numFmtId="170" formatCode="_ * #,##0_ ;_ * \-#,##0_ ;_ * &quot;-&quot;??_ ;_ @_ "/>
    <numFmt numFmtId="171" formatCode="_-&quot;$&quot;* #,##0.000_-;\-&quot;$&quot;* #,##0.000_-;_-&quot;$&quot;* &quot;-&quot;??_-;_-@_-"/>
    <numFmt numFmtId="172" formatCode="#,##0.0000"/>
    <numFmt numFmtId="173" formatCode="[Blue]* #,##0_ ;[Red]* _ \(#,##0\);\ \ &quot;          --  &quot;"/>
    <numFmt numFmtId="174" formatCode="#,##0;[Black]\(#,##0\);\-\-"/>
    <numFmt numFmtId="175" formatCode="#,##0.0;[Black]\(#,##0.0\);\-\-"/>
    <numFmt numFmtId="176" formatCode="[Black]* #,##0_ ;[Black]* _ \(#,##0\);\ \ &quot;          --  &quot;"/>
    <numFmt numFmtId="177" formatCode="[Blue]&quot;*&quot;* #,##0_ ;[Red]&quot;*&quot;* _ \(#,##0\);\ \ \ \ &quot;-&quot;"/>
    <numFmt numFmtId="178" formatCode="[Blue]&quot;**&quot;* #,##0_ ;[Red]&quot;**&quot;* _ \(#,##0\);\ \ \ \ &quot;-     **&quot;"/>
    <numFmt numFmtId="179" formatCode="[Blue]&quot;[1]&quot;* #,##0_ ;[Red]&quot;[1]&quot;* _ \(#,##0\);\ \ \ \ &quot;-     [1]&quot;"/>
    <numFmt numFmtId="180" formatCode="[Blue]&quot;[2]&quot;* #,##0_ ;[Red]&quot;[2]&quot;* _ \(#,##0\);\ \ \ \ &quot;-     [2]&quot;"/>
    <numFmt numFmtId="181" formatCode="[Blue]&quot;[3]&quot;* #,##0_ ;[Red]&quot;[3]&quot;* _ \(#,##0\);\ \ \ \ &quot;-     [3]&quot;"/>
    <numFmt numFmtId="182" formatCode="[Blue]&quot;[4]&quot;* #,##0_ ;[Red]&quot;[4]&quot;* _ \(#,##0\);\ \ \ \ &quot;-     [4]&quot;"/>
    <numFmt numFmtId="183" formatCode="[Blue]&quot;[5]&quot;* #,##0_ ;[Red]&quot;[5]&quot;* _ \(#,##0\);\ \ \ \ &quot;-     [5]&quot;"/>
    <numFmt numFmtId="184" formatCode="#,##0;\(#,##0\)\l"/>
    <numFmt numFmtId="185" formatCode="#,##0%;\(#,##0\)%"/>
    <numFmt numFmtId="186" formatCode="#,##0.00%;\(#,##0.00\)%"/>
    <numFmt numFmtId="187" formatCode="#,##0.0000_);\(#,##0.0000\)"/>
    <numFmt numFmtId="188" formatCode="#,###"/>
    <numFmt numFmtId="189" formatCode="#,##0.00;\(#,##0.00\)"/>
    <numFmt numFmtId="190" formatCode="#,##0.0%;\(#,##0.0\)%"/>
    <numFmt numFmtId="191" formatCode="#,##0.000"/>
    <numFmt numFmtId="192" formatCode="#,##0.00%;\(#,##0.00%\)"/>
  </numFmts>
  <fonts count="167">
    <font>
      <sz val="10"/>
      <name val="Arial"/>
    </font>
    <font>
      <sz val="10"/>
      <name val="Arial"/>
      <family val="2"/>
    </font>
    <font>
      <sz val="11"/>
      <name val="David"/>
      <family val="2"/>
      <charset val="177"/>
    </font>
    <font>
      <sz val="12"/>
      <name val="David"/>
      <family val="2"/>
      <charset val="177"/>
    </font>
    <font>
      <sz val="10"/>
      <name val="Arial"/>
      <family val="2"/>
    </font>
    <font>
      <sz val="10"/>
      <color indexed="8"/>
      <name val="MS Sans Serif"/>
      <family val="2"/>
      <charset val="177"/>
    </font>
    <font>
      <sz val="8"/>
      <name val="Arial"/>
      <family val="2"/>
      <charset val="177"/>
    </font>
    <font>
      <u/>
      <sz val="10"/>
      <color indexed="12"/>
      <name val="Arial"/>
      <family val="2"/>
    </font>
    <font>
      <sz val="10"/>
      <name val="Courier"/>
      <family val="3"/>
    </font>
    <font>
      <sz val="11"/>
      <name val="Arial (Hebrew)"/>
      <charset val="177"/>
    </font>
    <font>
      <sz val="12"/>
      <name val="Times New Roman"/>
      <family val="1"/>
      <charset val="177"/>
    </font>
    <font>
      <b/>
      <sz val="12"/>
      <name val="David"/>
      <family val="2"/>
      <charset val="177"/>
    </font>
    <font>
      <b/>
      <sz val="11"/>
      <name val="David Transparent"/>
      <charset val="177"/>
    </font>
    <font>
      <b/>
      <u/>
      <sz val="14"/>
      <name val="David"/>
      <family val="2"/>
      <charset val="177"/>
    </font>
    <font>
      <b/>
      <u/>
      <sz val="12"/>
      <name val="David"/>
      <family val="2"/>
      <charset val="177"/>
    </font>
    <font>
      <b/>
      <u/>
      <sz val="11"/>
      <color indexed="8"/>
      <name val="David"/>
      <family val="2"/>
      <charset val="177"/>
    </font>
    <font>
      <sz val="8"/>
      <name val="Arial (Hebrew)"/>
      <family val="2"/>
      <charset val="177"/>
    </font>
    <font>
      <b/>
      <u/>
      <sz val="12"/>
      <name val="Times New Roman"/>
      <family val="1"/>
      <charset val="177"/>
    </font>
    <font>
      <b/>
      <sz val="12"/>
      <color indexed="9"/>
      <name val="Arial"/>
      <family val="2"/>
      <charset val="177"/>
    </font>
    <font>
      <sz val="12"/>
      <name val="Arial"/>
      <family val="2"/>
      <charset val="177"/>
    </font>
    <font>
      <b/>
      <sz val="12"/>
      <name val="Arial"/>
      <family val="2"/>
      <charset val="177"/>
    </font>
    <font>
      <b/>
      <u/>
      <sz val="10"/>
      <name val="Times New Roman"/>
      <family val="1"/>
      <charset val="177"/>
    </font>
    <font>
      <u/>
      <sz val="10"/>
      <name val="Arial"/>
      <family val="2"/>
    </font>
    <font>
      <sz val="10"/>
      <color indexed="26"/>
      <name val="Arial"/>
      <family val="2"/>
    </font>
    <font>
      <b/>
      <u/>
      <sz val="12"/>
      <color indexed="9"/>
      <name val="Arial (Hebrew)"/>
      <family val="2"/>
      <charset val="177"/>
    </font>
    <font>
      <u/>
      <sz val="12"/>
      <name val="Times New Roman"/>
      <family val="1"/>
      <charset val="177"/>
    </font>
    <font>
      <b/>
      <sz val="10"/>
      <color indexed="9"/>
      <name val="Arial (Hebrew)"/>
      <family val="2"/>
      <charset val="177"/>
    </font>
    <font>
      <b/>
      <u/>
      <sz val="10"/>
      <color indexed="9"/>
      <name val="Arial (Hebrew)"/>
      <family val="2"/>
      <charset val="177"/>
    </font>
    <font>
      <b/>
      <sz val="10"/>
      <color indexed="9"/>
      <name val="Arial"/>
      <family val="2"/>
      <charset val="177"/>
    </font>
    <font>
      <b/>
      <u/>
      <sz val="10"/>
      <name val="Arial (Hebrew)"/>
      <family val="2"/>
      <charset val="177"/>
    </font>
    <font>
      <sz val="10"/>
      <name val="Arial (Hebrew)"/>
      <family val="2"/>
      <charset val="177"/>
    </font>
    <font>
      <sz val="10"/>
      <name val="Times New Roman"/>
      <family val="1"/>
      <charset val="177"/>
    </font>
    <font>
      <sz val="10"/>
      <name val="Arial"/>
      <family val="2"/>
    </font>
    <font>
      <sz val="12"/>
      <name val="Arial"/>
      <family val="2"/>
    </font>
    <font>
      <sz val="10"/>
      <name val="Arial"/>
      <family val="2"/>
      <charset val="177"/>
    </font>
    <font>
      <b/>
      <sz val="10"/>
      <name val="Arial"/>
      <family val="2"/>
    </font>
    <font>
      <b/>
      <sz val="10"/>
      <name val="Arial (Hebrew)"/>
      <family val="2"/>
      <charset val="177"/>
    </font>
    <font>
      <b/>
      <sz val="10"/>
      <color indexed="9"/>
      <name val="Arial"/>
      <family val="2"/>
    </font>
    <font>
      <b/>
      <sz val="12"/>
      <name val="Arial"/>
      <family val="2"/>
    </font>
    <font>
      <b/>
      <sz val="12"/>
      <name val="Arial (Hebrew)"/>
      <family val="2"/>
      <charset val="177"/>
    </font>
    <font>
      <b/>
      <sz val="10"/>
      <name val="Arial"/>
      <family val="2"/>
      <charset val="177"/>
    </font>
    <font>
      <b/>
      <u/>
      <sz val="12"/>
      <name val="Arial"/>
      <family val="2"/>
      <charset val="177"/>
    </font>
    <font>
      <sz val="14"/>
      <color indexed="9"/>
      <name val="Arial"/>
      <family val="2"/>
      <charset val="177"/>
    </font>
    <font>
      <b/>
      <sz val="12"/>
      <color indexed="26"/>
      <name val="Arial"/>
      <family val="2"/>
    </font>
    <font>
      <b/>
      <u/>
      <sz val="12"/>
      <color indexed="8"/>
      <name val="Arial"/>
      <family val="2"/>
      <charset val="177"/>
    </font>
    <font>
      <u/>
      <sz val="12"/>
      <color indexed="8"/>
      <name val="Arial"/>
      <family val="2"/>
      <charset val="177"/>
    </font>
    <font>
      <sz val="10"/>
      <color indexed="8"/>
      <name val="Arial"/>
      <family val="2"/>
      <charset val="177"/>
    </font>
    <font>
      <b/>
      <u/>
      <sz val="10"/>
      <color indexed="8"/>
      <name val="Arial"/>
      <family val="2"/>
      <charset val="177"/>
    </font>
    <font>
      <b/>
      <sz val="10"/>
      <color indexed="8"/>
      <name val="Arial"/>
      <family val="2"/>
      <charset val="177"/>
    </font>
    <font>
      <sz val="10"/>
      <color indexed="8"/>
      <name val="Arial"/>
      <family val="2"/>
    </font>
    <font>
      <b/>
      <u/>
      <sz val="12"/>
      <name val="Arial"/>
      <family val="2"/>
    </font>
    <font>
      <b/>
      <u/>
      <sz val="10"/>
      <name val="Arial"/>
      <family val="2"/>
    </font>
    <font>
      <b/>
      <u/>
      <sz val="10"/>
      <color indexed="56"/>
      <name val="Arial"/>
      <family val="2"/>
    </font>
    <font>
      <sz val="10"/>
      <color indexed="56"/>
      <name val="Arial"/>
      <family val="2"/>
    </font>
    <font>
      <b/>
      <sz val="10"/>
      <color indexed="10"/>
      <name val="Arial"/>
      <family val="2"/>
      <charset val="177"/>
    </font>
    <font>
      <b/>
      <sz val="12"/>
      <color indexed="9"/>
      <name val="Arial"/>
      <family val="2"/>
    </font>
    <font>
      <b/>
      <u/>
      <sz val="10"/>
      <name val="Arial"/>
      <family val="2"/>
      <charset val="177"/>
    </font>
    <font>
      <b/>
      <sz val="14"/>
      <color indexed="9"/>
      <name val="Arial"/>
      <family val="2"/>
      <charset val="177"/>
    </font>
    <font>
      <b/>
      <u/>
      <sz val="14"/>
      <color indexed="9"/>
      <name val="Arial"/>
      <family val="2"/>
      <charset val="177"/>
    </font>
    <font>
      <b/>
      <u/>
      <sz val="10"/>
      <color indexed="9"/>
      <name val="Arial"/>
      <family val="2"/>
      <charset val="177"/>
    </font>
    <font>
      <u/>
      <sz val="10"/>
      <name val="Arial"/>
      <family val="2"/>
      <charset val="177"/>
    </font>
    <font>
      <sz val="8"/>
      <name val="Arial"/>
      <family val="2"/>
    </font>
    <font>
      <sz val="14"/>
      <name val="Arial"/>
      <family val="2"/>
    </font>
    <font>
      <b/>
      <u/>
      <sz val="14"/>
      <name val="Arial"/>
      <family val="2"/>
    </font>
    <font>
      <b/>
      <sz val="14"/>
      <name val="Arial"/>
      <family val="2"/>
    </font>
    <font>
      <b/>
      <sz val="9"/>
      <name val="Arial"/>
      <family val="2"/>
    </font>
    <font>
      <sz val="12"/>
      <color indexed="9"/>
      <name val="Arial"/>
      <family val="2"/>
      <charset val="177"/>
    </font>
    <font>
      <sz val="10"/>
      <color indexed="9"/>
      <name val="Arial"/>
      <family val="2"/>
    </font>
    <font>
      <sz val="10"/>
      <color indexed="9"/>
      <name val="Arial"/>
      <family val="2"/>
      <charset val="177"/>
    </font>
    <font>
      <u/>
      <sz val="10"/>
      <color indexed="9"/>
      <name val="Arial"/>
      <family val="2"/>
      <charset val="177"/>
    </font>
    <font>
      <b/>
      <sz val="10"/>
      <color indexed="8"/>
      <name val="Arial"/>
      <family val="2"/>
    </font>
    <font>
      <sz val="10"/>
      <color indexed="63"/>
      <name val="Arial"/>
      <family val="2"/>
    </font>
    <font>
      <b/>
      <sz val="10"/>
      <color indexed="63"/>
      <name val="Arial"/>
      <family val="2"/>
    </font>
    <font>
      <b/>
      <u/>
      <sz val="10"/>
      <color indexed="63"/>
      <name val="Arial"/>
      <family val="2"/>
    </font>
    <font>
      <u/>
      <sz val="10"/>
      <color indexed="63"/>
      <name val="Arial"/>
      <family val="2"/>
    </font>
    <font>
      <u/>
      <sz val="10"/>
      <color indexed="8"/>
      <name val="Arial"/>
      <family val="2"/>
      <charset val="177"/>
    </font>
    <font>
      <b/>
      <u/>
      <sz val="10"/>
      <color indexed="8"/>
      <name val="Arial"/>
      <family val="2"/>
    </font>
    <font>
      <b/>
      <u/>
      <sz val="14"/>
      <color indexed="56"/>
      <name val="Arial"/>
      <family val="2"/>
    </font>
    <font>
      <sz val="10"/>
      <color indexed="63"/>
      <name val="Arial"/>
      <family val="2"/>
      <charset val="177"/>
    </font>
    <font>
      <b/>
      <sz val="14"/>
      <name val="Arial"/>
      <family val="2"/>
      <charset val="177"/>
    </font>
    <font>
      <b/>
      <u/>
      <sz val="12"/>
      <color indexed="56"/>
      <name val="Arial"/>
      <family val="2"/>
    </font>
    <font>
      <b/>
      <u/>
      <sz val="12"/>
      <color indexed="9"/>
      <name val="Arial"/>
      <family val="2"/>
    </font>
    <font>
      <b/>
      <sz val="10"/>
      <color indexed="10"/>
      <name val="Arial"/>
      <family val="2"/>
    </font>
    <font>
      <sz val="10"/>
      <color indexed="12"/>
      <name val="Arial"/>
      <family val="2"/>
    </font>
    <font>
      <b/>
      <i/>
      <sz val="12"/>
      <color indexed="9"/>
      <name val="Arial"/>
      <family val="2"/>
    </font>
    <font>
      <sz val="12"/>
      <color indexed="56"/>
      <name val="Arial"/>
      <family val="2"/>
    </font>
    <font>
      <b/>
      <sz val="12"/>
      <color indexed="56"/>
      <name val="Arial"/>
      <family val="2"/>
    </font>
    <font>
      <sz val="12"/>
      <color indexed="9"/>
      <name val="Arial"/>
      <family val="2"/>
    </font>
    <font>
      <sz val="10"/>
      <color indexed="26"/>
      <name val="Arial"/>
      <family val="2"/>
    </font>
    <font>
      <b/>
      <sz val="11"/>
      <name val="Arial"/>
      <family val="2"/>
    </font>
    <font>
      <b/>
      <u/>
      <sz val="11"/>
      <name val="Arial"/>
      <family val="2"/>
    </font>
    <font>
      <sz val="11"/>
      <name val="Arial"/>
      <family val="2"/>
    </font>
    <font>
      <b/>
      <sz val="14"/>
      <color indexed="9"/>
      <name val="Arial"/>
      <family val="2"/>
    </font>
    <font>
      <sz val="14"/>
      <name val="Arial"/>
      <family val="2"/>
      <charset val="177"/>
    </font>
    <font>
      <b/>
      <sz val="14"/>
      <color indexed="56"/>
      <name val="Arial"/>
      <family val="2"/>
    </font>
    <font>
      <sz val="10"/>
      <color indexed="39"/>
      <name val="Arial"/>
      <family val="2"/>
    </font>
    <font>
      <sz val="8"/>
      <color indexed="56"/>
      <name val="Arial"/>
      <family val="2"/>
    </font>
    <font>
      <b/>
      <u/>
      <sz val="12"/>
      <color indexed="9"/>
      <name val="Arial"/>
      <family val="2"/>
      <charset val="177"/>
    </font>
    <font>
      <b/>
      <sz val="11"/>
      <color indexed="9"/>
      <name val="Arial"/>
      <family val="2"/>
    </font>
    <font>
      <b/>
      <sz val="16"/>
      <name val="Arial"/>
      <family val="2"/>
    </font>
    <font>
      <b/>
      <u val="double"/>
      <sz val="12"/>
      <color indexed="56"/>
      <name val="Arial"/>
      <family val="2"/>
    </font>
    <font>
      <b/>
      <u val="double"/>
      <sz val="12"/>
      <name val="Arial"/>
      <family val="2"/>
      <charset val="177"/>
    </font>
    <font>
      <b/>
      <u/>
      <sz val="11"/>
      <name val="Arial"/>
      <family val="2"/>
      <charset val="177"/>
    </font>
    <font>
      <u val="doubleAccounting"/>
      <sz val="10"/>
      <name val="Arial"/>
      <family val="2"/>
      <charset val="177"/>
    </font>
    <font>
      <u/>
      <sz val="10"/>
      <color indexed="9"/>
      <name val="Arial"/>
      <family val="2"/>
    </font>
    <font>
      <sz val="11"/>
      <name val="Arial"/>
      <family val="2"/>
      <charset val="177"/>
    </font>
    <font>
      <u val="doubleAccounting"/>
      <sz val="10"/>
      <name val="Arial"/>
      <family val="2"/>
    </font>
    <font>
      <u/>
      <sz val="12"/>
      <color indexed="9"/>
      <name val="Arial"/>
      <family val="2"/>
    </font>
    <font>
      <u/>
      <sz val="11"/>
      <name val="Arial"/>
      <family val="2"/>
    </font>
    <font>
      <sz val="9"/>
      <color indexed="9"/>
      <name val="Arial"/>
      <family val="2"/>
    </font>
    <font>
      <sz val="9"/>
      <name val="Times New Roman (Hebrew)"/>
      <family val="1"/>
      <charset val="177"/>
    </font>
    <font>
      <sz val="9"/>
      <name val="Arial"/>
      <family val="2"/>
    </font>
    <font>
      <sz val="9"/>
      <name val="Arial"/>
      <family val="2"/>
    </font>
    <font>
      <sz val="10"/>
      <name val="Times New Roman (Hebrew)"/>
      <family val="1"/>
      <charset val="177"/>
    </font>
    <font>
      <b/>
      <sz val="8"/>
      <name val="Arial"/>
      <family val="2"/>
    </font>
    <font>
      <b/>
      <sz val="8"/>
      <color indexed="9"/>
      <name val="Arial"/>
      <family val="2"/>
    </font>
    <font>
      <b/>
      <sz val="10"/>
      <color indexed="18"/>
      <name val="Arial"/>
      <family val="2"/>
    </font>
    <font>
      <sz val="12"/>
      <color indexed="8"/>
      <name val="Arial"/>
      <family val="2"/>
      <charset val="177"/>
    </font>
    <font>
      <b/>
      <sz val="8"/>
      <name val="Arial"/>
      <family val="2"/>
      <charset val="177"/>
    </font>
    <font>
      <b/>
      <sz val="11"/>
      <color indexed="9"/>
      <name val="Arial"/>
      <family val="2"/>
      <charset val="177"/>
    </font>
    <font>
      <sz val="10"/>
      <color indexed="22"/>
      <name val="Arial"/>
      <family val="2"/>
    </font>
    <font>
      <b/>
      <sz val="10"/>
      <color indexed="81"/>
      <name val="Tahoma"/>
      <family val="2"/>
      <charset val="177"/>
    </font>
    <font>
      <b/>
      <sz val="10"/>
      <color indexed="81"/>
      <name val="Tahoma"/>
      <family val="2"/>
    </font>
    <font>
      <sz val="10"/>
      <color indexed="81"/>
      <name val="Tahoma"/>
      <family val="2"/>
    </font>
    <font>
      <sz val="8"/>
      <color indexed="81"/>
      <name val="Tahoma"/>
      <family val="2"/>
    </font>
    <font>
      <b/>
      <sz val="10"/>
      <color indexed="81"/>
      <name val="Arial"/>
      <family val="2"/>
    </font>
    <font>
      <b/>
      <sz val="12"/>
      <color indexed="81"/>
      <name val="Tahoma"/>
      <family val="2"/>
      <charset val="177"/>
    </font>
    <font>
      <sz val="9"/>
      <color indexed="81"/>
      <name val="Tahoma"/>
      <family val="2"/>
    </font>
    <font>
      <b/>
      <sz val="12"/>
      <color indexed="81"/>
      <name val="Arial (Hebrew)"/>
      <family val="2"/>
      <charset val="177"/>
    </font>
    <font>
      <b/>
      <sz val="11"/>
      <color indexed="81"/>
      <name val="Arial (Hebrew)"/>
      <family val="2"/>
      <charset val="177"/>
    </font>
    <font>
      <sz val="11"/>
      <color indexed="81"/>
      <name val="Arial (Hebrew)"/>
      <family val="2"/>
      <charset val="177"/>
    </font>
    <font>
      <sz val="12"/>
      <color indexed="81"/>
      <name val="Arial (Hebrew)"/>
      <family val="2"/>
      <charset val="177"/>
    </font>
    <font>
      <b/>
      <sz val="10"/>
      <color indexed="12"/>
      <name val="Arial"/>
      <family val="2"/>
    </font>
    <font>
      <u/>
      <sz val="10"/>
      <color indexed="12"/>
      <name val="Arial"/>
      <family val="2"/>
    </font>
    <font>
      <u/>
      <sz val="11"/>
      <color indexed="81"/>
      <name val="Arial (Hebrew)"/>
      <family val="2"/>
      <charset val="177"/>
    </font>
    <font>
      <sz val="11"/>
      <color indexed="81"/>
      <name val="Arial"/>
      <family val="2"/>
    </font>
    <font>
      <b/>
      <u/>
      <sz val="10"/>
      <color indexed="9"/>
      <name val="Arial"/>
      <family val="2"/>
    </font>
    <font>
      <b/>
      <u/>
      <sz val="11"/>
      <color indexed="81"/>
      <name val="Arial (Hebrew)"/>
    </font>
    <font>
      <b/>
      <sz val="20"/>
      <name val="Arial"/>
      <family val="2"/>
    </font>
    <font>
      <b/>
      <sz val="18"/>
      <name val="Arial"/>
      <family val="2"/>
    </font>
    <font>
      <u/>
      <sz val="11"/>
      <color indexed="81"/>
      <name val="Arial"/>
      <family val="2"/>
    </font>
    <font>
      <b/>
      <u/>
      <sz val="11"/>
      <color indexed="81"/>
      <name val="Arial"/>
      <family val="2"/>
    </font>
    <font>
      <sz val="11"/>
      <color indexed="81"/>
      <name val="Arial (Hebrew)"/>
    </font>
    <font>
      <u/>
      <sz val="11"/>
      <color indexed="81"/>
      <name val="Arial (Hebrew)"/>
    </font>
    <font>
      <sz val="12"/>
      <color indexed="81"/>
      <name val="Arial (Hebrew)"/>
    </font>
    <font>
      <b/>
      <sz val="11"/>
      <color indexed="81"/>
      <name val="Arial"/>
      <family val="2"/>
    </font>
    <font>
      <sz val="9"/>
      <color indexed="9"/>
      <name val="Arial"/>
      <family val="2"/>
    </font>
    <font>
      <sz val="9"/>
      <name val="Arial"/>
      <family val="2"/>
      <charset val="177"/>
    </font>
    <font>
      <u/>
      <sz val="8"/>
      <name val="Arial"/>
      <family val="2"/>
    </font>
    <font>
      <u/>
      <sz val="7.5"/>
      <name val="Arial"/>
      <family val="2"/>
    </font>
    <font>
      <u/>
      <sz val="8"/>
      <color indexed="62"/>
      <name val="Arial"/>
      <family val="2"/>
    </font>
    <font>
      <u/>
      <sz val="7.5"/>
      <color indexed="62"/>
      <name val="Arial"/>
      <family val="2"/>
    </font>
    <font>
      <u/>
      <sz val="8"/>
      <name val="Arial"/>
      <family val="2"/>
    </font>
    <font>
      <u/>
      <sz val="10"/>
      <color indexed="62"/>
      <name val="Arial"/>
      <family val="2"/>
    </font>
    <font>
      <u/>
      <sz val="10"/>
      <name val="Arial"/>
      <family val="2"/>
    </font>
    <font>
      <sz val="10"/>
      <color indexed="10"/>
      <name val="Arial"/>
      <family val="2"/>
      <charset val="177"/>
    </font>
    <font>
      <b/>
      <sz val="8"/>
      <color indexed="81"/>
      <name val="Tahoma"/>
      <family val="2"/>
    </font>
    <font>
      <u/>
      <sz val="16"/>
      <color indexed="10"/>
      <name val="Arial"/>
      <family val="2"/>
    </font>
    <font>
      <sz val="10"/>
      <color indexed="22"/>
      <name val="Arial"/>
      <family val="2"/>
    </font>
    <font>
      <sz val="10"/>
      <color rgb="FF0000FF"/>
      <name val="Arial"/>
      <family val="2"/>
    </font>
    <font>
      <sz val="10"/>
      <name val="Arial"/>
      <family val="2"/>
    </font>
    <font>
      <b/>
      <sz val="12"/>
      <color indexed="81"/>
      <name val="Tahoma"/>
      <family val="2"/>
    </font>
    <font>
      <b/>
      <sz val="9"/>
      <color indexed="81"/>
      <name val="Tahoma"/>
      <family val="2"/>
    </font>
    <font>
      <u/>
      <sz val="8"/>
      <color rgb="FFFFFFBB"/>
      <name val="Arial"/>
      <family val="2"/>
    </font>
    <font>
      <b/>
      <sz val="8"/>
      <color rgb="FFFF0000"/>
      <name val="Arial"/>
      <family val="2"/>
    </font>
    <font>
      <b/>
      <sz val="13"/>
      <color indexed="81"/>
      <name val="Tahoma"/>
      <family val="2"/>
    </font>
    <font>
      <u val="singleAccounting"/>
      <sz val="10"/>
      <name val="Arial"/>
      <family val="2"/>
    </font>
  </fonts>
  <fills count="2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56"/>
        <bgColor indexed="64"/>
      </patternFill>
    </fill>
    <fill>
      <patternFill patternType="solid">
        <fgColor indexed="54"/>
        <bgColor indexed="64"/>
      </patternFill>
    </fill>
    <fill>
      <patternFill patternType="solid">
        <fgColor indexed="39"/>
        <bgColor indexed="64"/>
      </patternFill>
    </fill>
    <fill>
      <patternFill patternType="solid">
        <fgColor indexed="36"/>
        <bgColor indexed="64"/>
      </patternFill>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10"/>
        <bgColor indexed="64"/>
      </patternFill>
    </fill>
    <fill>
      <patternFill patternType="solid">
        <fgColor indexed="55"/>
        <bgColor indexed="64"/>
      </patternFill>
    </fill>
    <fill>
      <patternFill patternType="darkDown">
        <bgColor indexed="39"/>
      </patternFill>
    </fill>
    <fill>
      <patternFill patternType="solid">
        <fgColor indexed="26"/>
        <bgColor indexed="26"/>
      </patternFill>
    </fill>
    <fill>
      <patternFill patternType="solid">
        <fgColor indexed="43"/>
        <bgColor indexed="64"/>
      </patternFill>
    </fill>
    <fill>
      <patternFill patternType="darkUp">
        <bgColor indexed="31"/>
      </patternFill>
    </fill>
    <fill>
      <patternFill patternType="solid">
        <fgColor rgb="FFFFFF99"/>
        <bgColor indexed="64"/>
      </patternFill>
    </fill>
    <fill>
      <patternFill patternType="solid">
        <fgColor rgb="FFEBEBFF"/>
        <bgColor indexed="64"/>
      </patternFill>
    </fill>
    <fill>
      <patternFill patternType="solid">
        <fgColor rgb="FFFFFFBB"/>
        <bgColor indexed="64"/>
      </patternFill>
    </fill>
    <fill>
      <patternFill patternType="solid">
        <fgColor rgb="FFCCCCFF"/>
        <bgColor indexed="64"/>
      </patternFill>
    </fill>
  </fills>
  <borders count="277">
    <border>
      <left/>
      <right/>
      <top/>
      <bottom/>
      <diagonal/>
    </border>
    <border>
      <left style="thin">
        <color indexed="64"/>
      </left>
      <right style="thin">
        <color indexed="64"/>
      </right>
      <top style="thin">
        <color indexed="64"/>
      </top>
      <bottom style="thin">
        <color indexed="64"/>
      </bottom>
      <diagonal/>
    </border>
    <border>
      <left style="thick">
        <color indexed="56"/>
      </left>
      <right/>
      <top/>
      <bottom/>
      <diagonal/>
    </border>
    <border>
      <left/>
      <right/>
      <top/>
      <bottom style="thin">
        <color indexed="54"/>
      </bottom>
      <diagonal/>
    </border>
    <border>
      <left/>
      <right style="thick">
        <color indexed="56"/>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54"/>
      </left>
      <right/>
      <top/>
      <bottom/>
      <diagonal/>
    </border>
    <border>
      <left/>
      <right style="thin">
        <color indexed="54"/>
      </right>
      <top/>
      <bottom/>
      <diagonal/>
    </border>
    <border>
      <left/>
      <right/>
      <top/>
      <bottom style="thin">
        <color indexed="39"/>
      </bottom>
      <diagonal/>
    </border>
    <border>
      <left/>
      <right/>
      <top style="thin">
        <color indexed="39"/>
      </top>
      <bottom style="thin">
        <color indexed="39"/>
      </bottom>
      <diagonal/>
    </border>
    <border>
      <left/>
      <right/>
      <top style="thin">
        <color indexed="39"/>
      </top>
      <bottom style="thin">
        <color indexed="64"/>
      </bottom>
      <diagonal/>
    </border>
    <border>
      <left/>
      <right/>
      <top/>
      <bottom style="dashed">
        <color indexed="64"/>
      </bottom>
      <diagonal/>
    </border>
    <border>
      <left/>
      <right/>
      <top style="thin">
        <color indexed="64"/>
      </top>
      <bottom style="dashed">
        <color indexed="64"/>
      </bottom>
      <diagonal/>
    </border>
    <border>
      <left/>
      <right/>
      <top style="thin">
        <color indexed="64"/>
      </top>
      <bottom style="double">
        <color indexed="64"/>
      </bottom>
      <diagonal/>
    </border>
    <border>
      <left style="thin">
        <color indexed="54"/>
      </left>
      <right style="thin">
        <color indexed="9"/>
      </right>
      <top style="thin">
        <color indexed="9"/>
      </top>
      <bottom style="thin">
        <color indexed="54"/>
      </bottom>
      <diagonal/>
    </border>
    <border>
      <left/>
      <right style="thick">
        <color indexed="56"/>
      </right>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thick">
        <color indexed="56"/>
      </right>
      <top style="thin">
        <color indexed="54"/>
      </top>
      <bottom style="thin">
        <color indexed="54"/>
      </bottom>
      <diagonal/>
    </border>
    <border>
      <left/>
      <right/>
      <top/>
      <bottom style="double">
        <color indexed="64"/>
      </bottom>
      <diagonal/>
    </border>
    <border>
      <left/>
      <right style="thin">
        <color indexed="54"/>
      </right>
      <top/>
      <bottom style="thin">
        <color indexed="54"/>
      </bottom>
      <diagonal/>
    </border>
    <border>
      <left/>
      <right/>
      <top/>
      <bottom style="thick">
        <color indexed="56"/>
      </bottom>
      <diagonal/>
    </border>
    <border>
      <left/>
      <right/>
      <top style="thin">
        <color indexed="39"/>
      </top>
      <bottom/>
      <diagonal/>
    </border>
    <border>
      <left/>
      <right/>
      <top/>
      <bottom style="thin">
        <color indexed="64"/>
      </bottom>
      <diagonal/>
    </border>
    <border>
      <left/>
      <right/>
      <top style="thick">
        <color indexed="56"/>
      </top>
      <bottom/>
      <diagonal/>
    </border>
    <border>
      <left style="thin">
        <color indexed="9"/>
      </left>
      <right/>
      <top style="thin">
        <color indexed="54"/>
      </top>
      <bottom style="thin">
        <color indexed="9"/>
      </bottom>
      <diagonal/>
    </border>
    <border>
      <left/>
      <right/>
      <top style="thin">
        <color indexed="54"/>
      </top>
      <bottom style="thin">
        <color indexed="9"/>
      </bottom>
      <diagonal/>
    </border>
    <border>
      <left/>
      <right style="thin">
        <color indexed="54"/>
      </right>
      <top style="thin">
        <color indexed="54"/>
      </top>
      <bottom style="thin">
        <color indexed="9"/>
      </bottom>
      <diagonal/>
    </border>
    <border>
      <left style="thin">
        <color indexed="64"/>
      </left>
      <right/>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style="thin">
        <color indexed="9"/>
      </right>
      <top/>
      <bottom style="thin">
        <color indexed="54"/>
      </bottom>
      <diagonal/>
    </border>
    <border>
      <left style="thin">
        <color indexed="9"/>
      </left>
      <right/>
      <top/>
      <bottom style="thin">
        <color indexed="54"/>
      </bottom>
      <diagonal/>
    </border>
    <border>
      <left/>
      <right style="thin">
        <color indexed="9"/>
      </right>
      <top/>
      <bottom style="thin">
        <color indexed="54"/>
      </bottom>
      <diagonal/>
    </border>
    <border>
      <left style="thin">
        <color indexed="54"/>
      </left>
      <right/>
      <top/>
      <bottom style="thin">
        <color indexed="54"/>
      </bottom>
      <diagonal/>
    </border>
    <border>
      <left/>
      <right/>
      <top style="thin">
        <color indexed="5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26"/>
      </bottom>
      <diagonal/>
    </border>
    <border>
      <left/>
      <right/>
      <top style="thin">
        <color indexed="26"/>
      </top>
      <bottom style="thin">
        <color indexed="26"/>
      </bottom>
      <diagonal/>
    </border>
    <border>
      <left/>
      <right/>
      <top style="thin">
        <color indexed="26"/>
      </top>
      <bottom style="thin">
        <color indexed="64"/>
      </bottom>
      <diagonal/>
    </border>
    <border>
      <left/>
      <right/>
      <top style="dashed">
        <color indexed="64"/>
      </top>
      <bottom/>
      <diagonal/>
    </border>
    <border>
      <left style="thin">
        <color indexed="54"/>
      </left>
      <right/>
      <top style="thin">
        <color indexed="54"/>
      </top>
      <bottom/>
      <diagonal/>
    </border>
    <border>
      <left style="thin">
        <color indexed="54"/>
      </left>
      <right/>
      <top/>
      <bottom style="thin">
        <color indexed="26"/>
      </bottom>
      <diagonal/>
    </border>
    <border>
      <left/>
      <right style="thin">
        <color indexed="54"/>
      </right>
      <top/>
      <bottom style="thin">
        <color indexed="26"/>
      </bottom>
      <diagonal/>
    </border>
    <border>
      <left style="thin">
        <color indexed="54"/>
      </left>
      <right/>
      <top style="thin">
        <color indexed="26"/>
      </top>
      <bottom style="thin">
        <color indexed="26"/>
      </bottom>
      <diagonal/>
    </border>
    <border>
      <left/>
      <right style="thin">
        <color indexed="54"/>
      </right>
      <top style="thin">
        <color indexed="26"/>
      </top>
      <bottom style="thin">
        <color indexed="26"/>
      </bottom>
      <diagonal/>
    </border>
    <border>
      <left style="thin">
        <color indexed="54"/>
      </left>
      <right/>
      <top style="thin">
        <color indexed="26"/>
      </top>
      <bottom/>
      <diagonal/>
    </border>
    <border>
      <left/>
      <right style="thin">
        <color indexed="54"/>
      </right>
      <top style="thin">
        <color indexed="26"/>
      </top>
      <bottom/>
      <diagonal/>
    </border>
    <border>
      <left style="thin">
        <color indexed="54"/>
      </left>
      <right/>
      <top style="thin">
        <color indexed="64"/>
      </top>
      <bottom style="thin">
        <color indexed="26"/>
      </bottom>
      <diagonal/>
    </border>
    <border>
      <left/>
      <right style="thin">
        <color indexed="54"/>
      </right>
      <top style="thin">
        <color indexed="64"/>
      </top>
      <bottom style="thin">
        <color indexed="26"/>
      </bottom>
      <diagonal/>
    </border>
    <border>
      <left style="thin">
        <color indexed="54"/>
      </left>
      <right/>
      <top style="thin">
        <color indexed="64"/>
      </top>
      <bottom style="double">
        <color indexed="64"/>
      </bottom>
      <diagonal/>
    </border>
    <border>
      <left/>
      <right style="thin">
        <color indexed="54"/>
      </right>
      <top style="thin">
        <color indexed="64"/>
      </top>
      <bottom style="double">
        <color indexed="64"/>
      </bottom>
      <diagonal/>
    </border>
    <border>
      <left style="thin">
        <color indexed="54"/>
      </left>
      <right/>
      <top style="thin">
        <color indexed="26"/>
      </top>
      <bottom style="double">
        <color indexed="64"/>
      </bottom>
      <diagonal/>
    </border>
    <border>
      <left/>
      <right style="thin">
        <color indexed="54"/>
      </right>
      <top style="thin">
        <color indexed="26"/>
      </top>
      <bottom style="double">
        <color indexed="64"/>
      </bottom>
      <diagonal/>
    </border>
    <border>
      <left/>
      <right/>
      <top style="thin">
        <color indexed="26"/>
      </top>
      <bottom/>
      <diagonal/>
    </border>
    <border>
      <left/>
      <right/>
      <top style="thin">
        <color indexed="64"/>
      </top>
      <bottom/>
      <diagonal/>
    </border>
    <border>
      <left/>
      <right style="thin">
        <color indexed="39"/>
      </right>
      <top/>
      <bottom style="thin">
        <color indexed="39"/>
      </bottom>
      <diagonal/>
    </border>
    <border>
      <left style="thin">
        <color indexed="39"/>
      </left>
      <right style="thin">
        <color indexed="39"/>
      </right>
      <top/>
      <bottom style="thin">
        <color indexed="39"/>
      </bottom>
      <diagonal/>
    </border>
    <border>
      <left/>
      <right style="thin">
        <color indexed="39"/>
      </right>
      <top style="thin">
        <color indexed="39"/>
      </top>
      <bottom style="thin">
        <color indexed="39"/>
      </bottom>
      <diagonal/>
    </border>
    <border>
      <left style="thin">
        <color indexed="39"/>
      </left>
      <right style="thin">
        <color indexed="39"/>
      </right>
      <top style="thin">
        <color indexed="39"/>
      </top>
      <bottom style="thin">
        <color indexed="39"/>
      </bottom>
      <diagonal/>
    </border>
    <border>
      <left/>
      <right style="thin">
        <color indexed="39"/>
      </right>
      <top style="thin">
        <color indexed="39"/>
      </top>
      <bottom/>
      <diagonal/>
    </border>
    <border>
      <left style="thin">
        <color indexed="39"/>
      </left>
      <right style="thin">
        <color indexed="39"/>
      </right>
      <top style="thin">
        <color indexed="39"/>
      </top>
      <bottom/>
      <diagonal/>
    </border>
    <border>
      <left/>
      <right style="thin">
        <color indexed="39"/>
      </right>
      <top style="thin">
        <color indexed="64"/>
      </top>
      <bottom style="double">
        <color indexed="64"/>
      </bottom>
      <diagonal/>
    </border>
    <border>
      <left style="thin">
        <color indexed="39"/>
      </left>
      <right style="thin">
        <color indexed="39"/>
      </right>
      <top style="thin">
        <color indexed="64"/>
      </top>
      <bottom style="double">
        <color indexed="64"/>
      </bottom>
      <diagonal/>
    </border>
    <border>
      <left style="thin">
        <color indexed="39"/>
      </left>
      <right style="thin">
        <color indexed="54"/>
      </right>
      <top style="thin">
        <color indexed="64"/>
      </top>
      <bottom style="double">
        <color indexed="64"/>
      </bottom>
      <diagonal/>
    </border>
    <border>
      <left style="thin">
        <color indexed="9"/>
      </left>
      <right style="thin">
        <color indexed="9"/>
      </right>
      <top style="thin">
        <color indexed="54"/>
      </top>
      <bottom style="thin">
        <color indexed="54"/>
      </bottom>
      <diagonal/>
    </border>
    <border>
      <left style="thin">
        <color indexed="9"/>
      </left>
      <right style="thin">
        <color indexed="54"/>
      </right>
      <top style="thin">
        <color indexed="54"/>
      </top>
      <bottom style="thin">
        <color indexed="54"/>
      </bottom>
      <diagonal/>
    </border>
    <border>
      <left style="thin">
        <color indexed="39"/>
      </left>
      <right style="thin">
        <color indexed="39"/>
      </right>
      <top style="thin">
        <color indexed="39"/>
      </top>
      <bottom style="double">
        <color indexed="64"/>
      </bottom>
      <diagonal/>
    </border>
    <border>
      <left style="thin">
        <color indexed="39"/>
      </left>
      <right style="thin">
        <color indexed="54"/>
      </right>
      <top style="thin">
        <color indexed="39"/>
      </top>
      <bottom style="double">
        <color indexed="64"/>
      </bottom>
      <diagonal/>
    </border>
    <border>
      <left style="thin">
        <color indexed="39"/>
      </left>
      <right style="thin">
        <color indexed="39"/>
      </right>
      <top style="double">
        <color indexed="64"/>
      </top>
      <bottom style="thin">
        <color indexed="39"/>
      </bottom>
      <diagonal/>
    </border>
    <border>
      <left style="thin">
        <color indexed="39"/>
      </left>
      <right style="thin">
        <color indexed="54"/>
      </right>
      <top style="double">
        <color indexed="64"/>
      </top>
      <bottom style="thin">
        <color indexed="39"/>
      </bottom>
      <diagonal/>
    </border>
    <border>
      <left style="thin">
        <color indexed="39"/>
      </left>
      <right style="thin">
        <color indexed="54"/>
      </right>
      <top style="thin">
        <color indexed="39"/>
      </top>
      <bottom style="thin">
        <color indexed="39"/>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54"/>
      </left>
      <right style="thin">
        <color indexed="9"/>
      </right>
      <top style="thin">
        <color indexed="54"/>
      </top>
      <bottom/>
      <diagonal/>
    </border>
    <border>
      <left style="thin">
        <color indexed="54"/>
      </left>
      <right style="thin">
        <color indexed="9"/>
      </right>
      <top/>
      <bottom/>
      <diagonal/>
    </border>
    <border>
      <left style="thin">
        <color indexed="54"/>
      </left>
      <right style="thin">
        <color indexed="54"/>
      </right>
      <top/>
      <bottom/>
      <diagonal/>
    </border>
    <border>
      <left style="thin">
        <color indexed="54"/>
      </left>
      <right style="thin">
        <color indexed="54"/>
      </right>
      <top/>
      <bottom style="thin">
        <color indexed="54"/>
      </bottom>
      <diagonal/>
    </border>
    <border>
      <left/>
      <right style="thin">
        <color indexed="54"/>
      </right>
      <top style="thin">
        <color indexed="54"/>
      </top>
      <bottom/>
      <diagonal/>
    </border>
    <border>
      <left style="thin">
        <color indexed="39"/>
      </left>
      <right/>
      <top style="thin">
        <color indexed="39"/>
      </top>
      <bottom/>
      <diagonal/>
    </border>
    <border>
      <left/>
      <right style="thin">
        <color indexed="39"/>
      </right>
      <top style="thin">
        <color indexed="64"/>
      </top>
      <bottom style="dashed">
        <color indexed="64"/>
      </bottom>
      <diagonal/>
    </border>
    <border>
      <left style="thin">
        <color indexed="39"/>
      </left>
      <right style="thin">
        <color indexed="39"/>
      </right>
      <top style="thin">
        <color indexed="64"/>
      </top>
      <bottom style="dashed">
        <color indexed="64"/>
      </bottom>
      <diagonal/>
    </border>
    <border>
      <left style="thin">
        <color indexed="39"/>
      </left>
      <right/>
      <top style="thin">
        <color indexed="64"/>
      </top>
      <bottom style="dashed">
        <color indexed="64"/>
      </bottom>
      <diagonal/>
    </border>
    <border>
      <left style="thin">
        <color indexed="39"/>
      </left>
      <right/>
      <top style="thin">
        <color indexed="64"/>
      </top>
      <bottom style="double">
        <color indexed="64"/>
      </bottom>
      <diagonal/>
    </border>
    <border>
      <left style="thin">
        <color indexed="39"/>
      </left>
      <right style="thin">
        <color indexed="39"/>
      </right>
      <top/>
      <bottom style="thin">
        <color indexed="26"/>
      </bottom>
      <diagonal/>
    </border>
    <border>
      <left style="thin">
        <color indexed="39"/>
      </left>
      <right style="thin">
        <color indexed="39"/>
      </right>
      <top style="thin">
        <color indexed="26"/>
      </top>
      <bottom style="thin">
        <color indexed="39"/>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style="thin">
        <color indexed="64"/>
      </bottom>
      <diagonal/>
    </border>
    <border>
      <left style="thin">
        <color indexed="54"/>
      </left>
      <right style="thin">
        <color indexed="9"/>
      </right>
      <top style="thin">
        <color indexed="54"/>
      </top>
      <bottom style="thin">
        <color indexed="54"/>
      </bottom>
      <diagonal/>
    </border>
    <border>
      <left style="thin">
        <color indexed="39"/>
      </left>
      <right style="thin">
        <color indexed="54"/>
      </right>
      <top/>
      <bottom style="thin">
        <color indexed="39"/>
      </bottom>
      <diagonal/>
    </border>
    <border>
      <left style="thin">
        <color indexed="39"/>
      </left>
      <right style="thin">
        <color indexed="54"/>
      </right>
      <top style="thin">
        <color indexed="39"/>
      </top>
      <bottom/>
      <diagonal/>
    </border>
    <border>
      <left/>
      <right style="thin">
        <color indexed="39"/>
      </right>
      <top style="thin">
        <color indexed="64"/>
      </top>
      <bottom style="dashed">
        <color indexed="8"/>
      </bottom>
      <diagonal/>
    </border>
    <border>
      <left style="thin">
        <color indexed="39"/>
      </left>
      <right style="thin">
        <color indexed="39"/>
      </right>
      <top style="thin">
        <color indexed="64"/>
      </top>
      <bottom style="dashed">
        <color indexed="8"/>
      </bottom>
      <diagonal/>
    </border>
    <border>
      <left style="thin">
        <color indexed="39"/>
      </left>
      <right style="thin">
        <color indexed="54"/>
      </right>
      <top style="thin">
        <color indexed="64"/>
      </top>
      <bottom style="dashed">
        <color indexed="8"/>
      </bottom>
      <diagonal/>
    </border>
    <border>
      <left style="thin">
        <color indexed="39"/>
      </left>
      <right style="thin">
        <color indexed="54"/>
      </right>
      <top style="thin">
        <color indexed="64"/>
      </top>
      <bottom style="dashed">
        <color indexed="64"/>
      </bottom>
      <diagonal/>
    </border>
    <border>
      <left/>
      <right style="thin">
        <color indexed="54"/>
      </right>
      <top style="dashed">
        <color indexed="64"/>
      </top>
      <bottom/>
      <diagonal/>
    </border>
    <border>
      <left style="thin">
        <color indexed="64"/>
      </left>
      <right style="thin">
        <color indexed="64"/>
      </right>
      <top style="thin">
        <color indexed="64"/>
      </top>
      <bottom style="dashed">
        <color indexed="8"/>
      </bottom>
      <diagonal/>
    </border>
    <border>
      <left/>
      <right/>
      <top style="dashed">
        <color indexed="8"/>
      </top>
      <bottom/>
      <diagonal/>
    </border>
    <border>
      <left/>
      <right style="thin">
        <color indexed="64"/>
      </right>
      <top style="dashed">
        <color indexed="8"/>
      </top>
      <bottom/>
      <diagonal/>
    </border>
    <border>
      <left/>
      <right style="thin">
        <color indexed="64"/>
      </right>
      <top style="dashed">
        <color indexed="64"/>
      </top>
      <bottom/>
      <diagonal/>
    </border>
    <border>
      <left style="thin">
        <color indexed="9"/>
      </left>
      <right style="thin">
        <color indexed="54"/>
      </right>
      <top style="thin">
        <color indexed="9"/>
      </top>
      <bottom style="thin">
        <color indexed="54"/>
      </bottom>
      <diagonal/>
    </border>
    <border>
      <left/>
      <right style="thin">
        <color indexed="54"/>
      </right>
      <top style="dashed">
        <color indexed="8"/>
      </top>
      <bottom/>
      <diagonal/>
    </border>
    <border>
      <left/>
      <right/>
      <top style="double">
        <color indexed="64"/>
      </top>
      <bottom style="thin">
        <color indexed="5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54"/>
      </right>
      <top/>
      <bottom style="thin">
        <color indexed="39"/>
      </bottom>
      <diagonal/>
    </border>
    <border>
      <left/>
      <right style="thin">
        <color indexed="54"/>
      </right>
      <top style="thin">
        <color indexed="39"/>
      </top>
      <bottom style="thin">
        <color indexed="64"/>
      </bottom>
      <diagonal/>
    </border>
    <border>
      <left/>
      <right style="thin">
        <color indexed="54"/>
      </right>
      <top style="thin">
        <color indexed="39"/>
      </top>
      <bottom style="thin">
        <color indexed="39"/>
      </bottom>
      <diagonal/>
    </border>
    <border>
      <left/>
      <right style="thin">
        <color indexed="54"/>
      </right>
      <top style="thin">
        <color indexed="39"/>
      </top>
      <bottom/>
      <diagonal/>
    </border>
    <border>
      <left/>
      <right style="thin">
        <color indexed="5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9"/>
      </right>
      <top style="thin">
        <color indexed="54"/>
      </top>
      <bottom style="thin">
        <color indexed="9"/>
      </bottom>
      <diagonal/>
    </border>
    <border>
      <left style="thin">
        <color indexed="9"/>
      </left>
      <right style="thin">
        <color indexed="54"/>
      </right>
      <top style="thin">
        <color indexed="9"/>
      </top>
      <bottom/>
      <diagonal/>
    </border>
    <border>
      <left style="thin">
        <color indexed="54"/>
      </left>
      <right style="thin">
        <color indexed="9"/>
      </right>
      <top/>
      <bottom style="thin">
        <color indexed="54"/>
      </bottom>
      <diagonal/>
    </border>
    <border>
      <left style="thin">
        <color indexed="9"/>
      </left>
      <right style="thin">
        <color indexed="54"/>
      </right>
      <top/>
      <bottom style="thin">
        <color indexed="54"/>
      </bottom>
      <diagonal/>
    </border>
    <border>
      <left style="thin">
        <color indexed="39"/>
      </left>
      <right/>
      <top/>
      <bottom style="thin">
        <color indexed="39"/>
      </bottom>
      <diagonal/>
    </border>
    <border>
      <left style="thin">
        <color indexed="39"/>
      </left>
      <right/>
      <top style="thin">
        <color indexed="39"/>
      </top>
      <bottom style="thin">
        <color indexed="39"/>
      </bottom>
      <diagonal/>
    </border>
    <border>
      <left/>
      <right style="thin">
        <color indexed="54"/>
      </right>
      <top style="double">
        <color indexed="64"/>
      </top>
      <bottom style="thin">
        <color indexed="39"/>
      </bottom>
      <diagonal/>
    </border>
    <border>
      <left/>
      <right style="thin">
        <color indexed="54"/>
      </right>
      <top style="thin">
        <color indexed="39"/>
      </top>
      <bottom style="double">
        <color indexed="64"/>
      </bottom>
      <diagonal/>
    </border>
    <border>
      <left/>
      <right style="thin">
        <color indexed="54"/>
      </right>
      <top style="double">
        <color indexed="64"/>
      </top>
      <bottom style="thin">
        <color indexed="54"/>
      </bottom>
      <diagonal/>
    </border>
    <border>
      <left/>
      <right style="thin">
        <color indexed="54"/>
      </right>
      <top style="thin">
        <color indexed="9"/>
      </top>
      <bottom/>
      <diagonal/>
    </border>
    <border>
      <left/>
      <right style="thin">
        <color indexed="9"/>
      </right>
      <top style="thin">
        <color indexed="54"/>
      </top>
      <bottom/>
      <diagonal/>
    </border>
    <border>
      <left style="thin">
        <color indexed="9"/>
      </left>
      <right style="thin">
        <color indexed="9"/>
      </right>
      <top style="thin">
        <color indexed="54"/>
      </top>
      <bottom/>
      <diagonal/>
    </border>
    <border>
      <left style="thin">
        <color indexed="9"/>
      </left>
      <right/>
      <top style="thin">
        <color indexed="54"/>
      </top>
      <bottom/>
      <diagonal/>
    </border>
    <border>
      <left style="thin">
        <color indexed="54"/>
      </left>
      <right/>
      <top/>
      <bottom style="thin">
        <color indexed="9"/>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54"/>
      </bottom>
      <diagonal/>
    </border>
    <border>
      <left style="thin">
        <color indexed="54"/>
      </left>
      <right style="thin">
        <color indexed="39"/>
      </right>
      <top/>
      <bottom style="thin">
        <color indexed="39"/>
      </bottom>
      <diagonal/>
    </border>
    <border>
      <left/>
      <right/>
      <top style="thin">
        <color indexed="54"/>
      </top>
      <bottom style="thin">
        <color indexed="39"/>
      </bottom>
      <diagonal/>
    </border>
    <border>
      <left style="thin">
        <color indexed="54"/>
      </left>
      <right style="thin">
        <color indexed="39"/>
      </right>
      <top style="thin">
        <color indexed="39"/>
      </top>
      <bottom style="thin">
        <color indexed="39"/>
      </bottom>
      <diagonal/>
    </border>
    <border>
      <left style="thin">
        <color indexed="54"/>
      </left>
      <right style="thin">
        <color indexed="39"/>
      </right>
      <top style="thin">
        <color indexed="64"/>
      </top>
      <bottom style="dashed">
        <color indexed="64"/>
      </bottom>
      <diagonal/>
    </border>
    <border>
      <left style="thin">
        <color indexed="39"/>
      </left>
      <right style="thin">
        <color indexed="39"/>
      </right>
      <top/>
      <bottom style="thin">
        <color indexed="64"/>
      </bottom>
      <diagonal/>
    </border>
    <border>
      <left style="thin">
        <color indexed="54"/>
      </left>
      <right style="thin">
        <color indexed="39"/>
      </right>
      <top style="thin">
        <color indexed="64"/>
      </top>
      <bottom style="double">
        <color indexed="64"/>
      </bottom>
      <diagonal/>
    </border>
    <border>
      <left/>
      <right style="thick">
        <color indexed="56"/>
      </right>
      <top/>
      <bottom style="thick">
        <color indexed="56"/>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39"/>
      </left>
      <right style="thin">
        <color indexed="39"/>
      </right>
      <top style="thin">
        <color indexed="54"/>
      </top>
      <bottom style="thin">
        <color indexed="39"/>
      </bottom>
      <diagonal/>
    </border>
    <border>
      <left style="thin">
        <color indexed="39"/>
      </left>
      <right style="thin">
        <color indexed="54"/>
      </right>
      <top style="thin">
        <color indexed="54"/>
      </top>
      <bottom style="thin">
        <color indexed="39"/>
      </bottom>
      <diagonal/>
    </border>
    <border>
      <left style="thin">
        <color indexed="39"/>
      </left>
      <right style="thin">
        <color indexed="39"/>
      </right>
      <top style="thin">
        <color indexed="39"/>
      </top>
      <bottom style="thin">
        <color indexed="64"/>
      </bottom>
      <diagonal/>
    </border>
    <border>
      <left style="thin">
        <color indexed="39"/>
      </left>
      <right style="thin">
        <color indexed="54"/>
      </right>
      <top style="thin">
        <color indexed="39"/>
      </top>
      <bottom style="thin">
        <color indexed="64"/>
      </bottom>
      <diagonal/>
    </border>
    <border>
      <left/>
      <right style="thin">
        <color indexed="39"/>
      </right>
      <top style="thin">
        <color indexed="54"/>
      </top>
      <bottom style="thin">
        <color indexed="39"/>
      </bottom>
      <diagonal/>
    </border>
    <border>
      <left/>
      <right style="thin">
        <color indexed="39"/>
      </right>
      <top style="thin">
        <color indexed="39"/>
      </top>
      <bottom style="thin">
        <color indexed="64"/>
      </bottom>
      <diagonal/>
    </border>
    <border>
      <left/>
      <right style="thin">
        <color indexed="39"/>
      </right>
      <top/>
      <bottom style="double">
        <color indexed="64"/>
      </bottom>
      <diagonal/>
    </border>
    <border>
      <left style="thin">
        <color indexed="39"/>
      </left>
      <right/>
      <top/>
      <bottom style="double">
        <color indexed="64"/>
      </bottom>
      <diagonal/>
    </border>
    <border>
      <left style="thin">
        <color indexed="39"/>
      </left>
      <right style="thin">
        <color indexed="54"/>
      </right>
      <top/>
      <bottom style="double">
        <color indexed="64"/>
      </bottom>
      <diagonal/>
    </border>
    <border>
      <left/>
      <right style="thin">
        <color indexed="39"/>
      </right>
      <top style="thin">
        <color indexed="64"/>
      </top>
      <bottom style="thin">
        <color indexed="39"/>
      </bottom>
      <diagonal/>
    </border>
    <border>
      <left style="thin">
        <color indexed="39"/>
      </left>
      <right/>
      <top style="thin">
        <color indexed="64"/>
      </top>
      <bottom style="thin">
        <color indexed="39"/>
      </bottom>
      <diagonal/>
    </border>
    <border>
      <left style="thin">
        <color indexed="39"/>
      </left>
      <right style="thin">
        <color indexed="54"/>
      </right>
      <top style="thin">
        <color indexed="64"/>
      </top>
      <bottom style="thin">
        <color indexed="39"/>
      </bottom>
      <diagonal/>
    </border>
    <border>
      <left style="thin">
        <color indexed="9"/>
      </left>
      <right/>
      <top style="thin">
        <color indexed="9"/>
      </top>
      <bottom style="thin">
        <color indexed="54"/>
      </bottom>
      <diagonal/>
    </border>
    <border>
      <left/>
      <right style="thin">
        <color indexed="9"/>
      </right>
      <top style="thin">
        <color indexed="9"/>
      </top>
      <bottom style="thin">
        <color indexed="54"/>
      </bottom>
      <diagonal/>
    </border>
    <border>
      <left/>
      <right style="thin">
        <color indexed="64"/>
      </right>
      <top/>
      <bottom style="double">
        <color indexed="64"/>
      </bottom>
      <diagonal/>
    </border>
    <border>
      <left style="thin">
        <color indexed="64"/>
      </left>
      <right style="thin">
        <color indexed="64"/>
      </right>
      <top/>
      <bottom/>
      <diagonal/>
    </border>
    <border>
      <left/>
      <right/>
      <top style="double">
        <color indexed="64"/>
      </top>
      <bottom/>
      <diagonal/>
    </border>
    <border>
      <left/>
      <right style="thin">
        <color indexed="54"/>
      </right>
      <top style="double">
        <color indexed="64"/>
      </top>
      <bottom/>
      <diagonal/>
    </border>
    <border>
      <left/>
      <right style="thin">
        <color indexed="39"/>
      </right>
      <top style="double">
        <color indexed="64"/>
      </top>
      <bottom/>
      <diagonal/>
    </border>
    <border>
      <left style="thin">
        <color indexed="39"/>
      </left>
      <right style="thin">
        <color indexed="54"/>
      </right>
      <top style="double">
        <color indexed="64"/>
      </top>
      <bottom/>
      <diagonal/>
    </border>
    <border>
      <left/>
      <right style="thin">
        <color indexed="39"/>
      </right>
      <top/>
      <bottom/>
      <diagonal/>
    </border>
    <border>
      <left style="thin">
        <color indexed="39"/>
      </left>
      <right style="thin">
        <color indexed="54"/>
      </right>
      <top/>
      <bottom/>
      <diagonal/>
    </border>
    <border>
      <left/>
      <right style="thin">
        <color indexed="64"/>
      </right>
      <top style="double">
        <color indexed="64"/>
      </top>
      <bottom/>
      <diagonal/>
    </border>
    <border>
      <left style="thin">
        <color indexed="26"/>
      </left>
      <right style="thin">
        <color indexed="39"/>
      </right>
      <top style="thin">
        <color indexed="39"/>
      </top>
      <bottom style="thin">
        <color indexed="39"/>
      </bottom>
      <diagonal/>
    </border>
    <border>
      <left style="thin">
        <color indexed="26"/>
      </left>
      <right/>
      <top/>
      <bottom/>
      <diagonal/>
    </border>
    <border>
      <left style="thick">
        <color indexed="54"/>
      </left>
      <right/>
      <top style="thin">
        <color indexed="54"/>
      </top>
      <bottom style="thin">
        <color indexed="54"/>
      </bottom>
      <diagonal/>
    </border>
    <border>
      <left style="thin">
        <color indexed="54"/>
      </left>
      <right style="thin">
        <color indexed="36"/>
      </right>
      <top style="thin">
        <color indexed="54"/>
      </top>
      <bottom style="thin">
        <color indexed="36"/>
      </bottom>
      <diagonal/>
    </border>
    <border>
      <left style="thin">
        <color indexed="36"/>
      </left>
      <right style="thin">
        <color indexed="36"/>
      </right>
      <top style="thin">
        <color indexed="54"/>
      </top>
      <bottom style="thin">
        <color indexed="36"/>
      </bottom>
      <diagonal/>
    </border>
    <border>
      <left style="thin">
        <color indexed="36"/>
      </left>
      <right style="thick">
        <color indexed="54"/>
      </right>
      <top style="thin">
        <color indexed="54"/>
      </top>
      <bottom style="thin">
        <color indexed="36"/>
      </bottom>
      <diagonal/>
    </border>
    <border>
      <left style="thick">
        <color indexed="54"/>
      </left>
      <right style="thin">
        <color indexed="36"/>
      </right>
      <top style="thin">
        <color indexed="54"/>
      </top>
      <bottom style="thin">
        <color indexed="36"/>
      </bottom>
      <diagonal/>
    </border>
    <border>
      <left style="thick">
        <color indexed="54"/>
      </left>
      <right/>
      <top style="thin">
        <color indexed="54"/>
      </top>
      <bottom style="thin">
        <color indexed="36"/>
      </bottom>
      <diagonal/>
    </border>
    <border>
      <left/>
      <right/>
      <top style="thin">
        <color indexed="54"/>
      </top>
      <bottom style="thin">
        <color indexed="36"/>
      </bottom>
      <diagonal/>
    </border>
    <border>
      <left style="thin">
        <color indexed="54"/>
      </left>
      <right style="thin">
        <color indexed="36"/>
      </right>
      <top style="thin">
        <color indexed="36"/>
      </top>
      <bottom style="thin">
        <color indexed="36"/>
      </bottom>
      <diagonal/>
    </border>
    <border>
      <left style="thin">
        <color indexed="36"/>
      </left>
      <right style="thin">
        <color indexed="36"/>
      </right>
      <top style="thin">
        <color indexed="36"/>
      </top>
      <bottom style="thin">
        <color indexed="36"/>
      </bottom>
      <diagonal/>
    </border>
    <border>
      <left style="thin">
        <color indexed="36"/>
      </left>
      <right style="thick">
        <color indexed="54"/>
      </right>
      <top style="thin">
        <color indexed="36"/>
      </top>
      <bottom style="thin">
        <color indexed="36"/>
      </bottom>
      <diagonal/>
    </border>
    <border>
      <left style="thick">
        <color indexed="54"/>
      </left>
      <right style="thin">
        <color indexed="36"/>
      </right>
      <top style="thin">
        <color indexed="36"/>
      </top>
      <bottom style="thin">
        <color indexed="36"/>
      </bottom>
      <diagonal/>
    </border>
    <border>
      <left style="thick">
        <color indexed="54"/>
      </left>
      <right/>
      <top style="thin">
        <color indexed="36"/>
      </top>
      <bottom style="thin">
        <color indexed="36"/>
      </bottom>
      <diagonal/>
    </border>
    <border>
      <left/>
      <right/>
      <top style="thin">
        <color indexed="36"/>
      </top>
      <bottom style="thin">
        <color indexed="36"/>
      </bottom>
      <diagonal/>
    </border>
    <border>
      <left style="thin">
        <color indexed="36"/>
      </left>
      <right style="thin">
        <color indexed="36"/>
      </right>
      <top/>
      <bottom style="thin">
        <color indexed="36"/>
      </bottom>
      <diagonal/>
    </border>
    <border>
      <left style="thin">
        <color indexed="36"/>
      </left>
      <right style="thick">
        <color indexed="54"/>
      </right>
      <top/>
      <bottom style="thin">
        <color indexed="36"/>
      </bottom>
      <diagonal/>
    </border>
    <border>
      <left style="thin">
        <color indexed="54"/>
      </left>
      <right style="thin">
        <color indexed="36"/>
      </right>
      <top style="thin">
        <color indexed="36"/>
      </top>
      <bottom style="thin">
        <color indexed="54"/>
      </bottom>
      <diagonal/>
    </border>
    <border>
      <left style="thin">
        <color indexed="36"/>
      </left>
      <right style="thin">
        <color indexed="36"/>
      </right>
      <top style="thin">
        <color indexed="36"/>
      </top>
      <bottom style="thin">
        <color indexed="54"/>
      </bottom>
      <diagonal/>
    </border>
    <border>
      <left style="thin">
        <color indexed="36"/>
      </left>
      <right style="thick">
        <color indexed="54"/>
      </right>
      <top style="thin">
        <color indexed="36"/>
      </top>
      <bottom style="thin">
        <color indexed="54"/>
      </bottom>
      <diagonal/>
    </border>
    <border>
      <left style="thick">
        <color indexed="54"/>
      </left>
      <right style="thin">
        <color indexed="36"/>
      </right>
      <top style="thin">
        <color indexed="36"/>
      </top>
      <bottom style="thin">
        <color indexed="54"/>
      </bottom>
      <diagonal/>
    </border>
    <border>
      <left style="thick">
        <color indexed="54"/>
      </left>
      <right/>
      <top style="thin">
        <color indexed="36"/>
      </top>
      <bottom style="thin">
        <color indexed="54"/>
      </bottom>
      <diagonal/>
    </border>
    <border>
      <left/>
      <right/>
      <top style="thin">
        <color indexed="36"/>
      </top>
      <bottom style="thin">
        <color indexed="54"/>
      </bottom>
      <diagonal/>
    </border>
    <border>
      <left style="thin">
        <color indexed="54"/>
      </left>
      <right style="thin">
        <color indexed="36"/>
      </right>
      <top/>
      <bottom style="thin">
        <color indexed="36"/>
      </bottom>
      <diagonal/>
    </border>
    <border>
      <left style="thick">
        <color indexed="54"/>
      </left>
      <right style="thin">
        <color indexed="36"/>
      </right>
      <top/>
      <bottom style="thin">
        <color indexed="36"/>
      </bottom>
      <diagonal/>
    </border>
    <border>
      <left style="thick">
        <color indexed="54"/>
      </left>
      <right/>
      <top/>
      <bottom style="thin">
        <color indexed="36"/>
      </bottom>
      <diagonal/>
    </border>
    <border>
      <left/>
      <right/>
      <top/>
      <bottom style="thin">
        <color indexed="36"/>
      </bottom>
      <diagonal/>
    </border>
    <border>
      <left style="thin">
        <color indexed="26"/>
      </left>
      <right style="thin">
        <color indexed="26"/>
      </right>
      <top style="thin">
        <color indexed="26"/>
      </top>
      <bottom style="thin">
        <color indexed="26"/>
      </bottom>
      <diagonal/>
    </border>
    <border>
      <left/>
      <right style="thin">
        <color indexed="26"/>
      </right>
      <top style="thin">
        <color indexed="26"/>
      </top>
      <bottom style="thin">
        <color indexed="26"/>
      </bottom>
      <diagonal/>
    </border>
    <border>
      <left style="thin">
        <color indexed="39"/>
      </left>
      <right style="thin">
        <color indexed="26"/>
      </right>
      <top style="thin">
        <color indexed="39"/>
      </top>
      <bottom style="thin">
        <color indexed="26"/>
      </bottom>
      <diagonal/>
    </border>
    <border>
      <left style="thin">
        <color indexed="26"/>
      </left>
      <right style="thin">
        <color indexed="39"/>
      </right>
      <top style="thin">
        <color indexed="39"/>
      </top>
      <bottom style="thin">
        <color indexed="26"/>
      </bottom>
      <diagonal/>
    </border>
    <border>
      <left style="thin">
        <color indexed="39"/>
      </left>
      <right style="thin">
        <color indexed="26"/>
      </right>
      <top style="thin">
        <color indexed="26"/>
      </top>
      <bottom/>
      <diagonal/>
    </border>
    <border>
      <left style="thin">
        <color indexed="26"/>
      </left>
      <right style="thin">
        <color indexed="39"/>
      </right>
      <top style="thin">
        <color indexed="26"/>
      </top>
      <bottom/>
      <diagonal/>
    </border>
    <border>
      <left style="thin">
        <color indexed="39"/>
      </left>
      <right style="thin">
        <color indexed="26"/>
      </right>
      <top style="thin">
        <color indexed="26"/>
      </top>
      <bottom style="thin">
        <color indexed="64"/>
      </bottom>
      <diagonal/>
    </border>
    <border>
      <left/>
      <right style="thin">
        <color indexed="39"/>
      </right>
      <top style="thin">
        <color indexed="26"/>
      </top>
      <bottom style="thin">
        <color indexed="64"/>
      </bottom>
      <diagonal/>
    </border>
    <border>
      <left style="thin">
        <color indexed="39"/>
      </left>
      <right style="thin">
        <color indexed="26"/>
      </right>
      <top style="thin">
        <color indexed="64"/>
      </top>
      <bottom style="double">
        <color indexed="64"/>
      </bottom>
      <diagonal/>
    </border>
    <border>
      <left style="thin">
        <color indexed="39"/>
      </left>
      <right style="thin">
        <color indexed="26"/>
      </right>
      <top style="thin">
        <color indexed="26"/>
      </top>
      <bottom style="thin">
        <color indexed="26"/>
      </bottom>
      <diagonal/>
    </border>
    <border>
      <left style="thin">
        <color indexed="26"/>
      </left>
      <right style="thin">
        <color indexed="54"/>
      </right>
      <top style="thin">
        <color indexed="39"/>
      </top>
      <bottom style="thin">
        <color indexed="26"/>
      </bottom>
      <diagonal/>
    </border>
    <border>
      <left style="thin">
        <color indexed="26"/>
      </left>
      <right style="thin">
        <color indexed="54"/>
      </right>
      <top style="thin">
        <color indexed="26"/>
      </top>
      <bottom style="thin">
        <color indexed="26"/>
      </bottom>
      <diagonal/>
    </border>
    <border>
      <left style="thin">
        <color indexed="26"/>
      </left>
      <right style="thin">
        <color indexed="54"/>
      </right>
      <top style="thin">
        <color indexed="26"/>
      </top>
      <bottom/>
      <diagonal/>
    </border>
    <border>
      <left/>
      <right style="thick">
        <color indexed="56"/>
      </right>
      <top style="thick">
        <color indexed="56"/>
      </top>
      <bottom/>
      <diagonal/>
    </border>
    <border>
      <left style="thin">
        <color indexed="9"/>
      </left>
      <right style="thin">
        <color indexed="54"/>
      </right>
      <top style="thin">
        <color indexed="54"/>
      </top>
      <bottom/>
      <diagonal/>
    </border>
    <border>
      <left style="thick">
        <color indexed="18"/>
      </left>
      <right/>
      <top/>
      <bottom/>
      <diagonal/>
    </border>
    <border>
      <left/>
      <right/>
      <top style="thick">
        <color indexed="32"/>
      </top>
      <bottom/>
      <diagonal/>
    </border>
    <border>
      <left/>
      <right style="thin">
        <color indexed="39"/>
      </right>
      <top style="dashed">
        <color indexed="64"/>
      </top>
      <bottom style="thin">
        <color indexed="39"/>
      </bottom>
      <diagonal/>
    </border>
    <border>
      <left style="thin">
        <color indexed="39"/>
      </left>
      <right style="thin">
        <color indexed="39"/>
      </right>
      <top style="dashed">
        <color indexed="64"/>
      </top>
      <bottom style="thin">
        <color indexed="39"/>
      </bottom>
      <diagonal/>
    </border>
    <border>
      <left style="thin">
        <color indexed="36"/>
      </left>
      <right style="thick">
        <color indexed="54"/>
      </right>
      <top style="thin">
        <color indexed="36"/>
      </top>
      <bottom/>
      <diagonal/>
    </border>
    <border>
      <left style="thin">
        <color indexed="36"/>
      </left>
      <right style="thick">
        <color indexed="54"/>
      </right>
      <top style="thin">
        <color indexed="64"/>
      </top>
      <bottom style="thin">
        <color indexed="36"/>
      </bottom>
      <diagonal/>
    </border>
    <border>
      <left style="thin">
        <color indexed="54"/>
      </left>
      <right style="thick">
        <color indexed="54"/>
      </right>
      <top style="thin">
        <color indexed="54"/>
      </top>
      <bottom style="thin">
        <color indexed="54"/>
      </bottom>
      <diagonal/>
    </border>
    <border>
      <left/>
      <right style="thin">
        <color indexed="54"/>
      </right>
      <top/>
      <bottom style="dashed">
        <color indexed="64"/>
      </bottom>
      <diagonal/>
    </border>
    <border>
      <left/>
      <right/>
      <top/>
      <bottom style="thin">
        <color indexed="43"/>
      </bottom>
      <diagonal/>
    </border>
    <border>
      <left/>
      <right/>
      <top style="thin">
        <color indexed="43"/>
      </top>
      <bottom style="thin">
        <color indexed="43"/>
      </bottom>
      <diagonal/>
    </border>
    <border>
      <left/>
      <right/>
      <top style="thin">
        <color indexed="43"/>
      </top>
      <bottom/>
      <diagonal/>
    </border>
    <border>
      <left/>
      <right style="thin">
        <color indexed="54"/>
      </right>
      <top/>
      <bottom style="thin">
        <color indexed="43"/>
      </bottom>
      <diagonal/>
    </border>
    <border>
      <left/>
      <right style="thin">
        <color indexed="54"/>
      </right>
      <top style="thin">
        <color indexed="43"/>
      </top>
      <bottom style="thin">
        <color indexed="43"/>
      </bottom>
      <diagonal/>
    </border>
    <border>
      <left/>
      <right style="thin">
        <color indexed="54"/>
      </right>
      <top style="thin">
        <color indexed="43"/>
      </top>
      <bottom/>
      <diagonal/>
    </border>
    <border>
      <left style="thin">
        <color indexed="64"/>
      </left>
      <right/>
      <top style="thin">
        <color indexed="64"/>
      </top>
      <bottom style="dashed">
        <color indexed="64"/>
      </bottom>
      <diagonal/>
    </border>
    <border>
      <left/>
      <right style="thin">
        <color indexed="36"/>
      </right>
      <top style="thin">
        <color indexed="36"/>
      </top>
      <bottom style="thin">
        <color indexed="36"/>
      </bottom>
      <diagonal/>
    </border>
    <border>
      <left style="thin">
        <color indexed="36"/>
      </left>
      <right style="thin">
        <color indexed="54"/>
      </right>
      <top style="thin">
        <color indexed="36"/>
      </top>
      <bottom style="thin">
        <color indexed="36"/>
      </bottom>
      <diagonal/>
    </border>
    <border>
      <left style="thin">
        <color indexed="36"/>
      </left>
      <right style="thin">
        <color indexed="54"/>
      </right>
      <top style="thin">
        <color indexed="36"/>
      </top>
      <bottom style="thin">
        <color indexed="54"/>
      </bottom>
      <diagonal/>
    </border>
    <border>
      <left style="thin">
        <color indexed="64"/>
      </left>
      <right style="thin">
        <color indexed="9"/>
      </right>
      <top/>
      <bottom style="thin">
        <color indexed="64"/>
      </bottom>
      <diagonal/>
    </border>
    <border>
      <left/>
      <right style="thin">
        <color indexed="39"/>
      </right>
      <top style="thin">
        <color indexed="54"/>
      </top>
      <bottom style="double">
        <color indexed="64"/>
      </bottom>
      <diagonal/>
    </border>
    <border>
      <left style="thin">
        <color indexed="39"/>
      </left>
      <right style="thin">
        <color indexed="54"/>
      </right>
      <top style="thin">
        <color indexed="54"/>
      </top>
      <bottom style="double">
        <color indexed="64"/>
      </bottom>
      <diagonal/>
    </border>
    <border>
      <left style="thin">
        <color indexed="36"/>
      </left>
      <right style="thin">
        <color indexed="54"/>
      </right>
      <top style="thin">
        <color indexed="54"/>
      </top>
      <bottom style="thin">
        <color indexed="36"/>
      </bottom>
      <diagonal/>
    </border>
    <border>
      <left style="thin">
        <color indexed="39"/>
      </left>
      <right style="thin">
        <color indexed="39"/>
      </right>
      <top/>
      <bottom/>
      <diagonal/>
    </border>
    <border>
      <left style="thin">
        <color indexed="39"/>
      </left>
      <right style="thin">
        <color indexed="54"/>
      </right>
      <top style="dashed">
        <color indexed="64"/>
      </top>
      <bottom style="thin">
        <color indexed="39"/>
      </bottom>
      <diagonal/>
    </border>
    <border>
      <left/>
      <right style="thin">
        <color indexed="39"/>
      </right>
      <top style="thin">
        <color indexed="64"/>
      </top>
      <bottom style="dashed">
        <color indexed="63"/>
      </bottom>
      <diagonal/>
    </border>
    <border>
      <left style="thin">
        <color indexed="39"/>
      </left>
      <right style="thin">
        <color indexed="54"/>
      </right>
      <top style="thin">
        <color indexed="64"/>
      </top>
      <bottom style="dashed">
        <color indexed="63"/>
      </bottom>
      <diagonal/>
    </border>
    <border>
      <left/>
      <right style="thin">
        <color indexed="54"/>
      </right>
      <top style="thin">
        <color indexed="9"/>
      </top>
      <bottom style="thin">
        <color indexed="54"/>
      </bottom>
      <diagonal/>
    </border>
    <border>
      <left style="thin">
        <color indexed="54"/>
      </left>
      <right style="thin">
        <color indexed="36"/>
      </right>
      <top style="thin">
        <color indexed="36"/>
      </top>
      <bottom/>
      <diagonal/>
    </border>
    <border>
      <left style="thick">
        <color indexed="54"/>
      </left>
      <right style="thin">
        <color indexed="36"/>
      </right>
      <top style="thin">
        <color indexed="36"/>
      </top>
      <bottom/>
      <diagonal/>
    </border>
    <border>
      <left style="thin">
        <color indexed="36"/>
      </left>
      <right style="thin">
        <color indexed="54"/>
      </right>
      <top style="thin">
        <color indexed="36"/>
      </top>
      <bottom/>
      <diagonal/>
    </border>
    <border>
      <left style="thin">
        <color indexed="36"/>
      </left>
      <right style="thin">
        <color indexed="36"/>
      </right>
      <top style="thin">
        <color indexed="36"/>
      </top>
      <bottom/>
      <diagonal/>
    </border>
    <border>
      <left/>
      <right/>
      <top style="dashed">
        <color indexed="64"/>
      </top>
      <bottom style="thin">
        <color indexed="64"/>
      </bottom>
      <diagonal/>
    </border>
    <border>
      <left style="thick">
        <color indexed="54"/>
      </left>
      <right/>
      <top style="thin">
        <color indexed="36"/>
      </top>
      <bottom/>
      <diagonal/>
    </border>
    <border>
      <left/>
      <right/>
      <top style="thin">
        <color indexed="36"/>
      </top>
      <bottom/>
      <diagonal/>
    </border>
    <border>
      <left style="thin">
        <color indexed="39"/>
      </left>
      <right/>
      <top/>
      <bottom style="thin">
        <color indexed="64"/>
      </bottom>
      <diagonal/>
    </border>
    <border>
      <left style="thin">
        <color indexed="54"/>
      </left>
      <right style="thin">
        <color indexed="39"/>
      </right>
      <top/>
      <bottom style="thin">
        <color indexed="64"/>
      </bottom>
      <diagonal/>
    </border>
    <border>
      <left style="thin">
        <color indexed="54"/>
      </left>
      <right style="thin">
        <color indexed="36"/>
      </right>
      <top style="thin">
        <color indexed="36"/>
      </top>
      <bottom style="thin">
        <color indexed="62"/>
      </bottom>
      <diagonal/>
    </border>
    <border>
      <left/>
      <right style="thin">
        <color indexed="39"/>
      </right>
      <top style="thin">
        <color indexed="39"/>
      </top>
      <bottom style="thin">
        <color indexed="54"/>
      </bottom>
      <diagonal/>
    </border>
    <border>
      <left style="thin">
        <color indexed="39"/>
      </left>
      <right style="thin">
        <color indexed="54"/>
      </right>
      <top style="thin">
        <color indexed="39"/>
      </top>
      <bottom style="thin">
        <color indexed="54"/>
      </bottom>
      <diagonal/>
    </border>
    <border>
      <left style="thin">
        <color indexed="54"/>
      </left>
      <right style="thin">
        <color indexed="54"/>
      </right>
      <top style="thin">
        <color indexed="54"/>
      </top>
      <bottom/>
      <diagonal/>
    </border>
    <border>
      <left style="thin">
        <color indexed="62"/>
      </left>
      <right style="thin">
        <color indexed="9"/>
      </right>
      <top style="thin">
        <color indexed="54"/>
      </top>
      <bottom/>
      <diagonal/>
    </border>
    <border>
      <left style="thin">
        <color indexed="36"/>
      </left>
      <right style="thin">
        <color indexed="54"/>
      </right>
      <top/>
      <bottom style="thin">
        <color indexed="36"/>
      </bottom>
      <diagonal/>
    </border>
    <border>
      <left style="thin">
        <color indexed="54"/>
      </left>
      <right/>
      <top style="thin">
        <color indexed="54"/>
      </top>
      <bottom style="thin">
        <color indexed="9"/>
      </bottom>
      <diagonal/>
    </border>
    <border>
      <left/>
      <right style="thick">
        <color indexed="56"/>
      </right>
      <top style="thin">
        <color indexed="54"/>
      </top>
      <bottom style="thin">
        <color indexed="9"/>
      </bottom>
      <diagonal/>
    </border>
    <border>
      <left style="thin">
        <color indexed="9"/>
      </left>
      <right style="thin">
        <color indexed="54"/>
      </right>
      <top/>
      <bottom/>
      <diagonal/>
    </border>
    <border>
      <left/>
      <right/>
      <top/>
      <bottom style="thin">
        <color indexed="9"/>
      </bottom>
      <diagonal/>
    </border>
    <border>
      <left/>
      <right style="thin">
        <color indexed="54"/>
      </right>
      <top/>
      <bottom style="thin">
        <color indexed="9"/>
      </bottom>
      <diagonal/>
    </border>
    <border>
      <left style="thin">
        <color indexed="9"/>
      </left>
      <right/>
      <top style="thin">
        <color indexed="9"/>
      </top>
      <bottom style="thin">
        <color indexed="9"/>
      </bottom>
      <diagonal/>
    </border>
    <border>
      <left/>
      <right style="thin">
        <color indexed="54"/>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style="thick">
        <color indexed="54"/>
      </right>
      <top style="thin">
        <color indexed="54"/>
      </top>
      <bottom style="thin">
        <color indexed="54"/>
      </bottom>
      <diagonal/>
    </border>
    <border>
      <left style="thin">
        <color indexed="36"/>
      </left>
      <right/>
      <top style="thin">
        <color indexed="36"/>
      </top>
      <bottom/>
      <diagonal/>
    </border>
    <border>
      <left/>
      <right style="thin">
        <color indexed="39"/>
      </right>
      <top style="thin">
        <color indexed="64"/>
      </top>
      <bottom/>
      <diagonal/>
    </border>
    <border>
      <left style="thin">
        <color indexed="39"/>
      </left>
      <right style="thin">
        <color indexed="54"/>
      </right>
      <top style="thin">
        <color indexed="64"/>
      </top>
      <bottom/>
      <diagonal/>
    </border>
    <border>
      <left style="thin">
        <color indexed="36"/>
      </left>
      <right style="thick">
        <color indexed="54"/>
      </right>
      <top/>
      <bottom/>
      <diagonal/>
    </border>
    <border>
      <left style="thin">
        <color indexed="36"/>
      </left>
      <right style="thin">
        <color indexed="36"/>
      </right>
      <top/>
      <bottom/>
      <diagonal/>
    </border>
    <border>
      <left style="thick">
        <color indexed="54"/>
      </left>
      <right style="thin">
        <color indexed="36"/>
      </right>
      <top/>
      <bottom/>
      <diagonal/>
    </border>
    <border>
      <left style="thin">
        <color indexed="36"/>
      </left>
      <right style="thin">
        <color indexed="54"/>
      </right>
      <top/>
      <bottom/>
      <diagonal/>
    </border>
  </borders>
  <cellStyleXfs count="42">
    <xf numFmtId="0" fontId="0" fillId="0" borderId="0"/>
    <xf numFmtId="177" fontId="2" fillId="0" borderId="0">
      <alignment readingOrder="2"/>
    </xf>
    <xf numFmtId="178" fontId="3" fillId="0" borderId="0">
      <alignment readingOrder="2"/>
    </xf>
    <xf numFmtId="179" fontId="3" fillId="0" borderId="0">
      <alignment readingOrder="2"/>
    </xf>
    <xf numFmtId="180" fontId="3" fillId="0" borderId="0">
      <alignment readingOrder="2"/>
    </xf>
    <xf numFmtId="181" fontId="3" fillId="0" borderId="0">
      <alignment readingOrder="2"/>
    </xf>
    <xf numFmtId="182" fontId="3" fillId="0" borderId="0">
      <alignment readingOrder="2"/>
    </xf>
    <xf numFmtId="183" fontId="3" fillId="0" borderId="0">
      <alignment readingOrder="2"/>
    </xf>
    <xf numFmtId="43" fontId="4" fillId="0" borderId="0" applyFont="0" applyFill="0" applyBorder="0" applyAlignment="0" applyProtection="0"/>
    <xf numFmtId="164" fontId="5" fillId="0" borderId="0" applyFont="0" applyFill="0" applyBorder="0" applyAlignment="0" applyProtection="0"/>
    <xf numFmtId="38" fontId="6" fillId="2" borderId="0" applyNumberFormat="0" applyBorder="0" applyAlignment="0" applyProtection="0"/>
    <xf numFmtId="0" fontId="7" fillId="0" borderId="0" applyNumberFormat="0" applyFill="0" applyBorder="0" applyAlignment="0" applyProtection="0">
      <alignment vertical="top"/>
      <protection locked="0"/>
    </xf>
    <xf numFmtId="10" fontId="6" fillId="3" borderId="1" applyNumberFormat="0" applyBorder="0" applyAlignment="0" applyProtection="0"/>
    <xf numFmtId="171" fontId="4" fillId="0" borderId="0"/>
    <xf numFmtId="0" fontId="4" fillId="0" borderId="0"/>
    <xf numFmtId="0" fontId="4" fillId="0" borderId="0"/>
    <xf numFmtId="37" fontId="8" fillId="0" borderId="0"/>
    <xf numFmtId="0" fontId="4" fillId="0" borderId="0" applyBorder="0"/>
    <xf numFmtId="173" fontId="9" fillId="0" borderId="0"/>
    <xf numFmtId="0" fontId="4" fillId="0" borderId="0" applyBorder="0"/>
    <xf numFmtId="0" fontId="10"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9" fontId="1" fillId="0" borderId="0" applyFont="0" applyFill="0" applyBorder="0" applyAlignment="0" applyProtection="0"/>
    <xf numFmtId="10" fontId="4" fillId="0" borderId="0" applyFont="0" applyFill="0" applyBorder="0" applyAlignment="0" applyProtection="0"/>
    <xf numFmtId="0" fontId="11" fillId="0" borderId="0">
      <alignment horizontal="right" vertical="center" readingOrder="2"/>
    </xf>
    <xf numFmtId="0" fontId="12" fillId="0" borderId="0">
      <alignment horizontal="right" vertical="center" readingOrder="2"/>
    </xf>
    <xf numFmtId="0" fontId="13" fillId="0" borderId="0">
      <alignment horizontal="right" vertical="center" readingOrder="2"/>
    </xf>
    <xf numFmtId="0" fontId="14" fillId="0" borderId="0">
      <alignment readingOrder="2"/>
    </xf>
    <xf numFmtId="0" fontId="15" fillId="0" borderId="0">
      <alignment readingOrder="2"/>
    </xf>
    <xf numFmtId="14" fontId="16" fillId="0" borderId="0">
      <alignment readingOrder="2"/>
    </xf>
    <xf numFmtId="43" fontId="160" fillId="0" borderId="0" applyFont="0" applyFill="0" applyBorder="0" applyAlignment="0" applyProtection="0"/>
  </cellStyleXfs>
  <cellXfs count="3766">
    <xf numFmtId="0" fontId="0" fillId="0" borderId="0" xfId="0"/>
    <xf numFmtId="0" fontId="10" fillId="4" borderId="0" xfId="19" applyFont="1" applyFill="1" applyAlignment="1" applyProtection="1">
      <alignment horizontal="right" vertical="center" shrinkToFit="1" readingOrder="2"/>
    </xf>
    <xf numFmtId="0" fontId="17" fillId="4" borderId="0" xfId="20" applyFont="1" applyFill="1" applyAlignment="1" applyProtection="1">
      <alignment horizontal="right" vertical="center" shrinkToFit="1" readingOrder="2"/>
    </xf>
    <xf numFmtId="37" fontId="10" fillId="2" borderId="2" xfId="19" applyNumberFormat="1" applyFont="1" applyFill="1" applyBorder="1" applyAlignment="1" applyProtection="1">
      <alignment horizontal="right" vertical="center" shrinkToFit="1" readingOrder="2"/>
    </xf>
    <xf numFmtId="37" fontId="10" fillId="2" borderId="0" xfId="19" applyNumberFormat="1" applyFont="1" applyFill="1" applyAlignment="1" applyProtection="1">
      <alignment horizontal="right" vertical="center" shrinkToFit="1" readingOrder="2"/>
    </xf>
    <xf numFmtId="0" fontId="10" fillId="2" borderId="0" xfId="19" applyFont="1" applyFill="1" applyAlignment="1" applyProtection="1">
      <alignment horizontal="right" vertical="center" shrinkToFit="1" readingOrder="2"/>
    </xf>
    <xf numFmtId="0" fontId="21" fillId="4" borderId="0" xfId="19" applyFont="1" applyFill="1" applyAlignment="1" applyProtection="1">
      <alignment horizontal="right" vertical="center" shrinkToFit="1" readingOrder="2"/>
    </xf>
    <xf numFmtId="0" fontId="22" fillId="3" borderId="0" xfId="11" applyFont="1" applyFill="1" applyBorder="1" applyAlignment="1" applyProtection="1">
      <alignment horizontal="right" vertical="top" readingOrder="2"/>
    </xf>
    <xf numFmtId="0" fontId="22" fillId="3" borderId="3" xfId="11" applyFont="1" applyFill="1" applyBorder="1" applyAlignment="1" applyProtection="1">
      <alignment horizontal="right" vertical="center" shrinkToFit="1" readingOrder="2"/>
    </xf>
    <xf numFmtId="0" fontId="4" fillId="3" borderId="3" xfId="14" applyFont="1" applyFill="1" applyBorder="1" applyAlignment="1" applyProtection="1">
      <alignment horizontal="right" vertical="center" shrinkToFit="1" readingOrder="2"/>
    </xf>
    <xf numFmtId="0" fontId="23" fillId="3" borderId="3" xfId="14" applyFont="1" applyFill="1" applyBorder="1" applyAlignment="1" applyProtection="1">
      <alignment horizontal="right" vertical="center" shrinkToFit="1" readingOrder="2"/>
    </xf>
    <xf numFmtId="1" fontId="24" fillId="3" borderId="4" xfId="19" applyNumberFormat="1" applyFont="1" applyFill="1" applyBorder="1" applyAlignment="1" applyProtection="1">
      <alignment horizontal="right" vertical="center" shrinkToFit="1" readingOrder="2"/>
    </xf>
    <xf numFmtId="1" fontId="25" fillId="2" borderId="0" xfId="19" applyNumberFormat="1" applyFont="1" applyFill="1" applyAlignment="1" applyProtection="1">
      <alignment horizontal="right" vertical="center" shrinkToFit="1" readingOrder="2"/>
    </xf>
    <xf numFmtId="0" fontId="10" fillId="3" borderId="0" xfId="19" applyFont="1" applyFill="1" applyAlignment="1" applyProtection="1">
      <alignment horizontal="right" vertical="center" shrinkToFit="1" readingOrder="2"/>
    </xf>
    <xf numFmtId="0" fontId="26" fillId="5" borderId="5" xfId="19" applyFont="1" applyFill="1" applyBorder="1" applyAlignment="1" applyProtection="1">
      <alignment horizontal="right" vertical="center" shrinkToFit="1" readingOrder="2"/>
    </xf>
    <xf numFmtId="0" fontId="27" fillId="5" borderId="6" xfId="19" applyFont="1" applyFill="1" applyBorder="1" applyAlignment="1" applyProtection="1">
      <alignment horizontal="right" vertical="center" shrinkToFit="1" readingOrder="2"/>
    </xf>
    <xf numFmtId="0" fontId="28" fillId="5" borderId="6" xfId="19" applyFont="1" applyFill="1" applyBorder="1" applyAlignment="1" applyProtection="1">
      <alignment horizontal="right" vertical="center" shrinkToFit="1" readingOrder="2"/>
    </xf>
    <xf numFmtId="0" fontId="26" fillId="5" borderId="6" xfId="19" applyFont="1" applyFill="1" applyBorder="1" applyAlignment="1" applyProtection="1">
      <alignment horizontal="right" vertical="center" shrinkToFit="1" readingOrder="2"/>
    </xf>
    <xf numFmtId="1" fontId="27" fillId="5" borderId="7" xfId="19" applyNumberFormat="1" applyFont="1" applyFill="1" applyBorder="1" applyAlignment="1" applyProtection="1">
      <alignment horizontal="right" vertical="center" shrinkToFit="1" readingOrder="2"/>
    </xf>
    <xf numFmtId="0" fontId="29" fillId="6" borderId="8" xfId="19" applyFont="1" applyFill="1" applyBorder="1" applyAlignment="1" applyProtection="1">
      <alignment horizontal="right" vertical="center" shrinkToFit="1" readingOrder="2"/>
    </xf>
    <xf numFmtId="0" fontId="29" fillId="6" borderId="0" xfId="19" applyFont="1" applyFill="1" applyBorder="1" applyAlignment="1" applyProtection="1">
      <alignment horizontal="right" vertical="center" shrinkToFit="1" readingOrder="2"/>
    </xf>
    <xf numFmtId="0" fontId="30" fillId="6" borderId="0" xfId="19" applyFont="1" applyFill="1" applyBorder="1" applyAlignment="1" applyProtection="1">
      <alignment horizontal="right" vertical="center" shrinkToFit="1" readingOrder="2"/>
    </xf>
    <xf numFmtId="0" fontId="31" fillId="6" borderId="0" xfId="19" applyFont="1" applyFill="1" applyBorder="1" applyAlignment="1" applyProtection="1">
      <alignment horizontal="right" vertical="center" shrinkToFit="1" readingOrder="2"/>
    </xf>
    <xf numFmtId="0" fontId="10" fillId="6" borderId="0" xfId="19" applyFont="1" applyFill="1" applyBorder="1" applyAlignment="1" applyProtection="1">
      <alignment horizontal="right" vertical="center" shrinkToFit="1" readingOrder="2"/>
    </xf>
    <xf numFmtId="37" fontId="10" fillId="6" borderId="9" xfId="19" applyNumberFormat="1" applyFont="1" applyFill="1" applyBorder="1" applyAlignment="1" applyProtection="1">
      <alignment horizontal="right" vertical="center" shrinkToFit="1" readingOrder="2"/>
    </xf>
    <xf numFmtId="37" fontId="10" fillId="3" borderId="0" xfId="19" applyNumberFormat="1" applyFont="1" applyFill="1" applyAlignment="1" applyProtection="1">
      <alignment horizontal="right" vertical="center" shrinkToFit="1" readingOrder="2"/>
    </xf>
    <xf numFmtId="0" fontId="30" fillId="6" borderId="8" xfId="19" applyFont="1" applyFill="1" applyBorder="1" applyAlignment="1" applyProtection="1">
      <alignment horizontal="right" vertical="center" shrinkToFit="1" readingOrder="2"/>
    </xf>
    <xf numFmtId="165" fontId="32" fillId="7" borderId="10" xfId="19" applyNumberFormat="1" applyFont="1" applyFill="1" applyBorder="1" applyAlignment="1" applyProtection="1">
      <alignment horizontal="right" vertical="center" shrinkToFit="1" readingOrder="2"/>
    </xf>
    <xf numFmtId="0" fontId="32" fillId="6" borderId="0" xfId="19" applyFont="1" applyFill="1" applyBorder="1" applyAlignment="1" applyProtection="1">
      <alignment horizontal="right" vertical="center" shrinkToFit="1" readingOrder="2"/>
    </xf>
    <xf numFmtId="0" fontId="33" fillId="6" borderId="0" xfId="19" applyFont="1" applyFill="1" applyBorder="1" applyAlignment="1" applyProtection="1">
      <alignment horizontal="right" vertical="center" shrinkToFit="1" readingOrder="2"/>
    </xf>
    <xf numFmtId="37" fontId="33" fillId="6" borderId="9" xfId="19" applyNumberFormat="1" applyFont="1" applyFill="1" applyBorder="1" applyAlignment="1" applyProtection="1">
      <alignment horizontal="right" vertical="center" shrinkToFit="1" readingOrder="2"/>
    </xf>
    <xf numFmtId="37" fontId="33" fillId="3" borderId="0" xfId="19" applyNumberFormat="1" applyFont="1" applyFill="1" applyAlignment="1" applyProtection="1">
      <alignment horizontal="right" vertical="center" shrinkToFit="1" readingOrder="2"/>
    </xf>
    <xf numFmtId="0" fontId="34" fillId="6" borderId="8" xfId="19" applyFont="1" applyFill="1" applyBorder="1" applyAlignment="1" applyProtection="1">
      <alignment horizontal="right" vertical="center" shrinkToFit="1" readingOrder="2"/>
    </xf>
    <xf numFmtId="0" fontId="30" fillId="6" borderId="0" xfId="14" applyFont="1" applyFill="1" applyBorder="1" applyAlignment="1" applyProtection="1">
      <alignment horizontal="right" vertical="center" shrinkToFit="1" readingOrder="2"/>
    </xf>
    <xf numFmtId="165" fontId="32" fillId="7" borderId="11" xfId="19" applyNumberFormat="1" applyFont="1" applyFill="1" applyBorder="1" applyAlignment="1" applyProtection="1">
      <alignment horizontal="right" vertical="center" shrinkToFit="1" readingOrder="2"/>
    </xf>
    <xf numFmtId="37" fontId="32" fillId="6" borderId="0" xfId="19" applyNumberFormat="1" applyFont="1" applyFill="1" applyBorder="1" applyAlignment="1" applyProtection="1">
      <alignment horizontal="right" vertical="center" shrinkToFit="1" readingOrder="2"/>
    </xf>
    <xf numFmtId="0" fontId="30" fillId="6" borderId="8" xfId="19" applyFont="1" applyFill="1" applyBorder="1" applyAlignment="1" applyProtection="1">
      <alignment horizontal="right" vertical="center" shrinkToFit="1" readingOrder="2"/>
      <protection locked="0"/>
    </xf>
    <xf numFmtId="0" fontId="30" fillId="6" borderId="0" xfId="19" applyFont="1" applyFill="1" applyBorder="1" applyAlignment="1" applyProtection="1">
      <alignment horizontal="right" vertical="center" shrinkToFit="1" readingOrder="2"/>
      <protection locked="0"/>
    </xf>
    <xf numFmtId="165" fontId="32" fillId="8" borderId="12" xfId="19" applyNumberFormat="1" applyFont="1" applyFill="1" applyBorder="1" applyAlignment="1" applyProtection="1">
      <alignment horizontal="right" vertical="center" shrinkToFit="1" readingOrder="2"/>
      <protection locked="0"/>
    </xf>
    <xf numFmtId="165" fontId="35" fillId="9" borderId="13" xfId="19" applyNumberFormat="1" applyFont="1" applyFill="1" applyBorder="1" applyAlignment="1" applyProtection="1">
      <alignment horizontal="right" vertical="center" shrinkToFit="1" readingOrder="2"/>
    </xf>
    <xf numFmtId="0" fontId="36" fillId="6" borderId="8" xfId="19" applyFont="1" applyFill="1" applyBorder="1" applyAlignment="1" applyProtection="1">
      <alignment horizontal="right" vertical="center" shrinkToFit="1" readingOrder="2"/>
      <protection locked="0"/>
    </xf>
    <xf numFmtId="165" fontId="32" fillId="8" borderId="13" xfId="19" applyNumberFormat="1" applyFont="1" applyFill="1" applyBorder="1" applyAlignment="1" applyProtection="1">
      <alignment horizontal="right" vertical="center" shrinkToFit="1" readingOrder="2"/>
      <protection locked="0"/>
    </xf>
    <xf numFmtId="165" fontId="32" fillId="7" borderId="13" xfId="19" applyNumberFormat="1" applyFont="1" applyFill="1" applyBorder="1" applyAlignment="1" applyProtection="1">
      <alignment horizontal="right" vertical="center" shrinkToFit="1" readingOrder="2"/>
    </xf>
    <xf numFmtId="165" fontId="32" fillId="7" borderId="12" xfId="19" applyNumberFormat="1" applyFont="1" applyFill="1" applyBorder="1" applyAlignment="1" applyProtection="1">
      <alignment horizontal="right" vertical="center" shrinkToFit="1" readingOrder="2"/>
    </xf>
    <xf numFmtId="0" fontId="33" fillId="6" borderId="9" xfId="19" applyFont="1" applyFill="1" applyBorder="1" applyAlignment="1" applyProtection="1">
      <alignment horizontal="right" vertical="center" shrinkToFit="1" readingOrder="2"/>
    </xf>
    <xf numFmtId="0" fontId="33" fillId="3" borderId="0" xfId="19" applyFont="1" applyFill="1" applyAlignment="1" applyProtection="1">
      <alignment horizontal="right" vertical="center" shrinkToFit="1" readingOrder="2"/>
    </xf>
    <xf numFmtId="0" fontId="10" fillId="2" borderId="2" xfId="19" applyFont="1" applyFill="1" applyBorder="1" applyAlignment="1" applyProtection="1">
      <alignment horizontal="right" vertical="center" shrinkToFit="1" readingOrder="2"/>
    </xf>
    <xf numFmtId="165" fontId="32" fillId="7" borderId="14" xfId="19" applyNumberFormat="1" applyFont="1" applyFill="1" applyBorder="1" applyAlignment="1" applyProtection="1">
      <alignment horizontal="right" vertical="center" shrinkToFit="1" readingOrder="2"/>
    </xf>
    <xf numFmtId="0" fontId="36" fillId="6" borderId="8" xfId="19" applyFont="1" applyFill="1" applyBorder="1" applyAlignment="1" applyProtection="1">
      <alignment horizontal="right" vertical="center" shrinkToFit="1" readingOrder="2"/>
    </xf>
    <xf numFmtId="165" fontId="32" fillId="7" borderId="15" xfId="19" applyNumberFormat="1" applyFont="1" applyFill="1" applyBorder="1" applyAlignment="1" applyProtection="1">
      <alignment horizontal="right" vertical="center" shrinkToFit="1" readingOrder="2"/>
    </xf>
    <xf numFmtId="165" fontId="35" fillId="6" borderId="0" xfId="19" applyNumberFormat="1" applyFont="1" applyFill="1" applyBorder="1" applyAlignment="1" applyProtection="1">
      <alignment horizontal="right" vertical="center" shrinkToFit="1" readingOrder="2"/>
    </xf>
    <xf numFmtId="0" fontId="33" fillId="6" borderId="0" xfId="19" applyFont="1" applyFill="1" applyAlignment="1" applyProtection="1">
      <alignment horizontal="right" vertical="center" shrinkToFit="1" readingOrder="2"/>
    </xf>
    <xf numFmtId="49" fontId="37" fillId="5" borderId="16" xfId="19" applyNumberFormat="1" applyFont="1" applyFill="1" applyBorder="1" applyAlignment="1" applyProtection="1">
      <alignment horizontal="right" vertical="center" shrinkToFit="1" readingOrder="2"/>
    </xf>
    <xf numFmtId="49" fontId="37" fillId="5" borderId="17" xfId="19" applyNumberFormat="1" applyFont="1" applyFill="1" applyBorder="1" applyAlignment="1" applyProtection="1">
      <alignment horizontal="right" vertical="center" shrinkToFit="1" readingOrder="2"/>
    </xf>
    <xf numFmtId="0" fontId="31" fillId="6" borderId="0" xfId="19" applyFont="1" applyFill="1" applyAlignment="1" applyProtection="1">
      <alignment horizontal="right" vertical="center" shrinkToFit="1" readingOrder="2"/>
    </xf>
    <xf numFmtId="0" fontId="32" fillId="6" borderId="0" xfId="19" applyFont="1" applyFill="1" applyAlignment="1" applyProtection="1">
      <alignment horizontal="right" vertical="center" shrinkToFit="1" readingOrder="2"/>
    </xf>
    <xf numFmtId="165" fontId="32" fillId="7" borderId="18" xfId="19" applyNumberFormat="1" applyFont="1" applyFill="1" applyBorder="1" applyAlignment="1" applyProtection="1">
      <alignment horizontal="right" vertical="center" shrinkToFit="1" readingOrder="2"/>
    </xf>
    <xf numFmtId="165" fontId="32" fillId="7" borderId="19" xfId="19" applyNumberFormat="1" applyFont="1" applyFill="1" applyBorder="1" applyAlignment="1" applyProtection="1">
      <alignment horizontal="right" vertical="center" shrinkToFit="1" readingOrder="2"/>
    </xf>
    <xf numFmtId="165" fontId="32" fillId="7" borderId="20" xfId="19" applyNumberFormat="1" applyFont="1" applyFill="1" applyBorder="1" applyAlignment="1" applyProtection="1">
      <alignment horizontal="right" vertical="center" shrinkToFit="1" readingOrder="2"/>
    </xf>
    <xf numFmtId="3" fontId="32" fillId="6" borderId="0" xfId="19" applyNumberFormat="1" applyFont="1" applyFill="1" applyBorder="1" applyAlignment="1" applyProtection="1">
      <alignment horizontal="right" vertical="center" shrinkToFit="1" readingOrder="2"/>
    </xf>
    <xf numFmtId="0" fontId="36" fillId="6" borderId="0" xfId="19" applyFont="1" applyFill="1" applyBorder="1" applyAlignment="1" applyProtection="1">
      <alignment horizontal="right" vertical="center" shrinkToFit="1" readingOrder="2"/>
    </xf>
    <xf numFmtId="165" fontId="32" fillId="8" borderId="10" xfId="19" applyNumberFormat="1" applyFont="1" applyFill="1" applyBorder="1" applyAlignment="1" applyProtection="1">
      <alignment horizontal="right" vertical="center" shrinkToFit="1" readingOrder="2"/>
      <protection locked="0"/>
    </xf>
    <xf numFmtId="165" fontId="32" fillId="8" borderId="11" xfId="19" applyNumberFormat="1" applyFont="1" applyFill="1" applyBorder="1" applyAlignment="1" applyProtection="1">
      <alignment horizontal="right" vertical="center" shrinkToFit="1" readingOrder="2"/>
      <protection locked="0"/>
    </xf>
    <xf numFmtId="165" fontId="32" fillId="9" borderId="15" xfId="19" applyNumberFormat="1" applyFont="1" applyFill="1" applyBorder="1" applyAlignment="1" applyProtection="1">
      <alignment horizontal="right" vertical="center" shrinkToFit="1" readingOrder="2"/>
    </xf>
    <xf numFmtId="0" fontId="30" fillId="6" borderId="3" xfId="19" applyFont="1" applyFill="1" applyBorder="1" applyAlignment="1" applyProtection="1">
      <alignment horizontal="right" vertical="center" shrinkToFit="1" readingOrder="2"/>
    </xf>
    <xf numFmtId="0" fontId="32" fillId="6" borderId="3" xfId="19" applyFont="1" applyFill="1" applyBorder="1" applyAlignment="1" applyProtection="1">
      <alignment horizontal="right" vertical="center" shrinkToFit="1" readingOrder="2"/>
    </xf>
    <xf numFmtId="0" fontId="32" fillId="6" borderId="21" xfId="19" applyFont="1" applyFill="1" applyBorder="1" applyAlignment="1" applyProtection="1">
      <alignment horizontal="right" vertical="center" shrinkToFit="1" readingOrder="2"/>
    </xf>
    <xf numFmtId="0" fontId="10" fillId="3" borderId="22" xfId="19" applyFont="1" applyFill="1" applyBorder="1" applyAlignment="1" applyProtection="1">
      <alignment horizontal="right" vertical="center" shrinkToFit="1" readingOrder="2"/>
    </xf>
    <xf numFmtId="0" fontId="36" fillId="3" borderId="22" xfId="19" applyFont="1" applyFill="1" applyBorder="1" applyAlignment="1" applyProtection="1">
      <alignment horizontal="right" vertical="center" shrinkToFit="1" readingOrder="2"/>
    </xf>
    <xf numFmtId="0" fontId="10" fillId="2" borderId="0" xfId="19" applyFont="1" applyFill="1" applyBorder="1" applyAlignment="1" applyProtection="1">
      <alignment horizontal="right" vertical="center" shrinkToFit="1" readingOrder="2"/>
    </xf>
    <xf numFmtId="37" fontId="10" fillId="2" borderId="0" xfId="19" applyNumberFormat="1" applyFont="1" applyFill="1" applyBorder="1" applyAlignment="1" applyProtection="1">
      <alignment horizontal="right" vertical="center" shrinkToFit="1" readingOrder="2"/>
    </xf>
    <xf numFmtId="0" fontId="36" fillId="2" borderId="0" xfId="19" applyFont="1" applyFill="1" applyBorder="1" applyAlignment="1" applyProtection="1">
      <alignment horizontal="right" vertical="center" shrinkToFit="1" readingOrder="2"/>
    </xf>
    <xf numFmtId="0" fontId="30" fillId="2" borderId="0" xfId="19" applyFont="1" applyFill="1" applyBorder="1" applyAlignment="1" applyProtection="1">
      <alignment horizontal="right" vertical="center" shrinkToFit="1" readingOrder="2"/>
    </xf>
    <xf numFmtId="0" fontId="40" fillId="2" borderId="0" xfId="19" applyFont="1" applyFill="1" applyBorder="1" applyAlignment="1" applyProtection="1">
      <alignment horizontal="right" vertical="center" shrinkToFit="1" readingOrder="2"/>
    </xf>
    <xf numFmtId="0" fontId="29" fillId="2" borderId="0" xfId="19" applyFont="1" applyFill="1" applyBorder="1" applyAlignment="1" applyProtection="1">
      <alignment horizontal="right" vertical="center" shrinkToFit="1" readingOrder="2"/>
    </xf>
    <xf numFmtId="0" fontId="31" fillId="2" borderId="0" xfId="19" applyFont="1" applyFill="1" applyBorder="1" applyAlignment="1" applyProtection="1">
      <alignment horizontal="right" vertical="center" shrinkToFit="1" readingOrder="2"/>
    </xf>
    <xf numFmtId="165" fontId="32" fillId="2" borderId="0" xfId="19" applyNumberFormat="1" applyFont="1" applyFill="1" applyBorder="1" applyAlignment="1" applyProtection="1">
      <alignment horizontal="right" vertical="center" shrinkToFit="1" readingOrder="2"/>
    </xf>
    <xf numFmtId="0" fontId="32" fillId="2" borderId="0" xfId="19" applyFont="1" applyFill="1" applyBorder="1" applyAlignment="1" applyProtection="1">
      <alignment horizontal="right" vertical="center" shrinkToFit="1" readingOrder="2"/>
    </xf>
    <xf numFmtId="0" fontId="30" fillId="2" borderId="0" xfId="14" applyFont="1" applyFill="1" applyBorder="1" applyAlignment="1" applyProtection="1">
      <alignment horizontal="right" vertical="center" shrinkToFit="1" readingOrder="2"/>
    </xf>
    <xf numFmtId="37" fontId="32" fillId="2" borderId="0" xfId="19" applyNumberFormat="1" applyFont="1" applyFill="1" applyBorder="1" applyAlignment="1" applyProtection="1">
      <alignment horizontal="right" vertical="center" shrinkToFit="1" readingOrder="2"/>
    </xf>
    <xf numFmtId="165" fontId="32" fillId="2" borderId="13" xfId="19" applyNumberFormat="1" applyFont="1" applyFill="1" applyBorder="1" applyAlignment="1" applyProtection="1">
      <alignment horizontal="right" vertical="center" shrinkToFit="1" readingOrder="2"/>
    </xf>
    <xf numFmtId="165" fontId="32" fillId="2" borderId="14" xfId="19" applyNumberFormat="1" applyFont="1" applyFill="1" applyBorder="1" applyAlignment="1" applyProtection="1">
      <alignment horizontal="right" vertical="center" shrinkToFit="1" readingOrder="2"/>
    </xf>
    <xf numFmtId="49" fontId="30" fillId="2" borderId="0" xfId="19" applyNumberFormat="1" applyFont="1" applyFill="1" applyBorder="1" applyAlignment="1" applyProtection="1">
      <alignment horizontal="right" vertical="center" shrinkToFit="1" readingOrder="2"/>
    </xf>
    <xf numFmtId="165" fontId="32" fillId="2" borderId="15" xfId="19" applyNumberFormat="1" applyFont="1" applyFill="1" applyBorder="1" applyAlignment="1" applyProtection="1">
      <alignment horizontal="right" vertical="center" shrinkToFit="1" readingOrder="2"/>
    </xf>
    <xf numFmtId="165" fontId="35" fillId="2" borderId="0" xfId="19" applyNumberFormat="1" applyFont="1" applyFill="1" applyBorder="1" applyAlignment="1" applyProtection="1">
      <alignment horizontal="right" vertical="center" shrinkToFit="1" readingOrder="2"/>
    </xf>
    <xf numFmtId="0" fontId="31" fillId="2" borderId="0" xfId="19" applyFont="1" applyFill="1" applyAlignment="1" applyProtection="1">
      <alignment horizontal="right" vertical="center" shrinkToFit="1" readingOrder="2"/>
    </xf>
    <xf numFmtId="0" fontId="32" fillId="2" borderId="0" xfId="19" applyFont="1" applyFill="1" applyAlignment="1" applyProtection="1">
      <alignment horizontal="right" vertical="center" shrinkToFit="1" readingOrder="2"/>
    </xf>
    <xf numFmtId="165" fontId="32" fillId="2" borderId="20" xfId="19" applyNumberFormat="1" applyFont="1" applyFill="1" applyBorder="1" applyAlignment="1" applyProtection="1">
      <alignment horizontal="right" vertical="center" shrinkToFit="1" readingOrder="2"/>
    </xf>
    <xf numFmtId="3" fontId="32" fillId="2" borderId="0" xfId="19" applyNumberFormat="1" applyFont="1" applyFill="1" applyBorder="1" applyAlignment="1" applyProtection="1">
      <alignment horizontal="right" vertical="center" shrinkToFit="1" readingOrder="2"/>
    </xf>
    <xf numFmtId="0" fontId="19" fillId="4" borderId="0" xfId="19" applyFont="1" applyFill="1" applyAlignment="1" applyProtection="1">
      <alignment horizontal="right" vertical="center" shrinkToFit="1" readingOrder="2"/>
    </xf>
    <xf numFmtId="0" fontId="41" fillId="4" borderId="0" xfId="20" applyFont="1" applyFill="1" applyAlignment="1" applyProtection="1">
      <alignment horizontal="right" vertical="center" shrinkToFit="1" readingOrder="2"/>
    </xf>
    <xf numFmtId="37" fontId="19" fillId="4" borderId="0" xfId="19" applyNumberFormat="1" applyFont="1" applyFill="1" applyAlignment="1" applyProtection="1">
      <alignment horizontal="right" vertical="center" shrinkToFit="1" readingOrder="2"/>
    </xf>
    <xf numFmtId="37" fontId="42" fillId="4" borderId="0" xfId="19" applyNumberFormat="1" applyFont="1" applyFill="1" applyAlignment="1" applyProtection="1">
      <alignment horizontal="right" vertical="center" shrinkToFit="1" readingOrder="2"/>
    </xf>
    <xf numFmtId="37" fontId="42" fillId="2" borderId="2" xfId="19" applyNumberFormat="1" applyFont="1" applyFill="1" applyBorder="1" applyAlignment="1" applyProtection="1">
      <alignment horizontal="right" vertical="center" shrinkToFit="1" readingOrder="2"/>
    </xf>
    <xf numFmtId="37" fontId="19" fillId="2" borderId="0" xfId="19" applyNumberFormat="1" applyFont="1" applyFill="1" applyBorder="1" applyAlignment="1" applyProtection="1">
      <alignment horizontal="right" vertical="center" shrinkToFit="1" readingOrder="2"/>
    </xf>
    <xf numFmtId="0" fontId="19" fillId="2" borderId="0" xfId="19" applyFont="1" applyFill="1" applyAlignment="1" applyProtection="1">
      <alignment horizontal="right" vertical="center" shrinkToFit="1" readingOrder="2"/>
    </xf>
    <xf numFmtId="0" fontId="42" fillId="4" borderId="0" xfId="14" applyFont="1" applyFill="1" applyAlignment="1" applyProtection="1">
      <alignment horizontal="right" vertical="center" shrinkToFit="1" readingOrder="2"/>
    </xf>
    <xf numFmtId="0" fontId="32" fillId="2" borderId="0" xfId="14" applyNumberFormat="1" applyFont="1" applyFill="1" applyBorder="1" applyAlignment="1" applyProtection="1">
      <alignment horizontal="right" vertical="center" readingOrder="2"/>
    </xf>
    <xf numFmtId="37" fontId="41" fillId="4" borderId="0" xfId="19" applyNumberFormat="1" applyFont="1" applyFill="1" applyAlignment="1" applyProtection="1">
      <alignment horizontal="right" vertical="center" shrinkToFit="1" readingOrder="2"/>
    </xf>
    <xf numFmtId="0" fontId="43" fillId="3" borderId="3" xfId="14" applyFont="1" applyFill="1" applyBorder="1" applyAlignment="1" applyProtection="1">
      <alignment horizontal="right" vertical="center" shrinkToFit="1" readingOrder="2"/>
    </xf>
    <xf numFmtId="0" fontId="43" fillId="3" borderId="0" xfId="14" applyFont="1" applyFill="1" applyAlignment="1" applyProtection="1">
      <alignment horizontal="right" vertical="center" shrinkToFit="1" readingOrder="2"/>
    </xf>
    <xf numFmtId="37" fontId="42" fillId="3" borderId="0" xfId="19" applyNumberFormat="1" applyFont="1" applyFill="1" applyAlignment="1" applyProtection="1">
      <alignment horizontal="right" vertical="center" shrinkToFit="1" readingOrder="2"/>
    </xf>
    <xf numFmtId="0" fontId="19" fillId="2" borderId="0" xfId="19" applyFont="1" applyFill="1" applyBorder="1" applyAlignment="1" applyProtection="1">
      <alignment horizontal="right" vertical="center" shrinkToFit="1" readingOrder="2"/>
    </xf>
    <xf numFmtId="0" fontId="19" fillId="3" borderId="0" xfId="19" applyFont="1" applyFill="1" applyAlignment="1" applyProtection="1">
      <alignment horizontal="right" vertical="center" shrinkToFit="1" readingOrder="2"/>
    </xf>
    <xf numFmtId="37" fontId="37" fillId="5" borderId="5" xfId="19" applyNumberFormat="1" applyFont="1" applyFill="1" applyBorder="1" applyAlignment="1" applyProtection="1">
      <alignment horizontal="right" vertical="center" shrinkToFit="1" readingOrder="2"/>
    </xf>
    <xf numFmtId="0" fontId="28" fillId="5" borderId="6" xfId="14" applyFont="1" applyFill="1" applyBorder="1" applyAlignment="1" applyProtection="1">
      <alignment horizontal="right" vertical="center" shrinkToFit="1" readingOrder="2"/>
    </xf>
    <xf numFmtId="0" fontId="18" fillId="5" borderId="6" xfId="19" applyFont="1" applyFill="1" applyBorder="1" applyAlignment="1" applyProtection="1">
      <alignment horizontal="right" vertical="center" shrinkToFit="1" readingOrder="2"/>
    </xf>
    <xf numFmtId="37" fontId="18" fillId="5" borderId="7" xfId="19" applyNumberFormat="1" applyFont="1" applyFill="1" applyBorder="1" applyAlignment="1" applyProtection="1">
      <alignment horizontal="right" vertical="center" shrinkToFit="1" readingOrder="2"/>
    </xf>
    <xf numFmtId="37" fontId="19" fillId="2" borderId="2" xfId="19" applyNumberFormat="1" applyFont="1" applyFill="1" applyBorder="1" applyAlignment="1" applyProtection="1">
      <alignment horizontal="right" vertical="center" shrinkToFit="1" readingOrder="2"/>
    </xf>
    <xf numFmtId="1" fontId="44" fillId="6" borderId="8" xfId="19" applyNumberFormat="1" applyFont="1" applyFill="1" applyBorder="1" applyAlignment="1" applyProtection="1">
      <alignment horizontal="right" vertical="center" shrinkToFit="1" readingOrder="2"/>
    </xf>
    <xf numFmtId="1" fontId="45" fillId="6" borderId="0" xfId="19" applyNumberFormat="1" applyFont="1" applyFill="1" applyBorder="1" applyAlignment="1" applyProtection="1">
      <alignment horizontal="right" vertical="center" shrinkToFit="1" readingOrder="2"/>
    </xf>
    <xf numFmtId="0" fontId="46" fillId="6" borderId="0" xfId="19" applyFont="1" applyFill="1" applyBorder="1" applyAlignment="1" applyProtection="1">
      <alignment horizontal="right" vertical="center" shrinkToFit="1" readingOrder="2"/>
    </xf>
    <xf numFmtId="0" fontId="44" fillId="6" borderId="0" xfId="19" applyFont="1" applyFill="1" applyBorder="1" applyAlignment="1" applyProtection="1">
      <alignment horizontal="right" vertical="center" shrinkToFit="1" readingOrder="2"/>
    </xf>
    <xf numFmtId="0" fontId="44" fillId="6" borderId="9" xfId="19" applyFont="1" applyFill="1" applyBorder="1" applyAlignment="1" applyProtection="1">
      <alignment horizontal="right" vertical="center" shrinkToFit="1" readingOrder="2"/>
    </xf>
    <xf numFmtId="1" fontId="19" fillId="3" borderId="0" xfId="19" applyNumberFormat="1" applyFont="1" applyFill="1" applyAlignment="1" applyProtection="1">
      <alignment horizontal="right" vertical="center" shrinkToFit="1" readingOrder="2"/>
    </xf>
    <xf numFmtId="0" fontId="47" fillId="6" borderId="8" xfId="19" applyNumberFormat="1" applyFont="1" applyFill="1" applyBorder="1" applyAlignment="1" applyProtection="1">
      <alignment horizontal="right" vertical="center" shrinkToFit="1" readingOrder="2"/>
    </xf>
    <xf numFmtId="0" fontId="46" fillId="6" borderId="0" xfId="19" applyNumberFormat="1" applyFont="1" applyFill="1" applyBorder="1" applyAlignment="1" applyProtection="1">
      <alignment horizontal="right" vertical="center" shrinkToFit="1" readingOrder="2"/>
    </xf>
    <xf numFmtId="0" fontId="34" fillId="6" borderId="0" xfId="14" applyFont="1" applyFill="1" applyBorder="1" applyAlignment="1" applyProtection="1">
      <alignment horizontal="right" vertical="center" shrinkToFit="1" readingOrder="2"/>
    </xf>
    <xf numFmtId="37" fontId="34" fillId="6" borderId="9" xfId="19" applyNumberFormat="1" applyFont="1" applyFill="1" applyBorder="1" applyAlignment="1" applyProtection="1">
      <alignment horizontal="right" vertical="center" shrinkToFit="1" readingOrder="2"/>
    </xf>
    <xf numFmtId="0" fontId="46" fillId="6" borderId="8" xfId="19" applyNumberFormat="1" applyFont="1" applyFill="1" applyBorder="1" applyAlignment="1" applyProtection="1">
      <alignment horizontal="right" vertical="center" shrinkToFit="1" readingOrder="2"/>
    </xf>
    <xf numFmtId="0" fontId="34" fillId="6" borderId="0" xfId="19" applyFont="1" applyFill="1" applyBorder="1" applyAlignment="1" applyProtection="1">
      <alignment horizontal="right" vertical="center" shrinkToFit="1" readingOrder="2"/>
    </xf>
    <xf numFmtId="165" fontId="34" fillId="7" borderId="10" xfId="19" applyNumberFormat="1" applyFont="1" applyFill="1" applyBorder="1" applyAlignment="1" applyProtection="1">
      <alignment horizontal="right" vertical="center" shrinkToFit="1" readingOrder="2"/>
    </xf>
    <xf numFmtId="37" fontId="34" fillId="6" borderId="0" xfId="19" applyNumberFormat="1" applyFont="1" applyFill="1" applyBorder="1" applyAlignment="1" applyProtection="1">
      <alignment horizontal="right" vertical="center" shrinkToFit="1" readingOrder="2"/>
    </xf>
    <xf numFmtId="165" fontId="19" fillId="3" borderId="0" xfId="19" applyNumberFormat="1" applyFont="1" applyFill="1" applyAlignment="1" applyProtection="1">
      <alignment horizontal="right" vertical="center" shrinkToFit="1" readingOrder="2"/>
    </xf>
    <xf numFmtId="165" fontId="34" fillId="7" borderId="11" xfId="19" applyNumberFormat="1" applyFont="1" applyFill="1" applyBorder="1" applyAlignment="1" applyProtection="1">
      <alignment horizontal="right" vertical="center" shrinkToFit="1" readingOrder="2"/>
    </xf>
    <xf numFmtId="165" fontId="34" fillId="6" borderId="0" xfId="19" applyNumberFormat="1" applyFont="1" applyFill="1" applyBorder="1" applyAlignment="1" applyProtection="1">
      <alignment horizontal="right" vertical="center" shrinkToFit="1" readingOrder="2"/>
    </xf>
    <xf numFmtId="165" fontId="34" fillId="7" borderId="23" xfId="19" applyNumberFormat="1" applyFont="1" applyFill="1" applyBorder="1" applyAlignment="1" applyProtection="1">
      <alignment horizontal="right" vertical="center" shrinkToFit="1" readingOrder="2"/>
    </xf>
    <xf numFmtId="0" fontId="46" fillId="6" borderId="8" xfId="19" applyNumberFormat="1" applyFont="1" applyFill="1" applyBorder="1" applyAlignment="1" applyProtection="1">
      <alignment horizontal="right" vertical="center" shrinkToFit="1" readingOrder="2"/>
      <protection locked="0"/>
    </xf>
    <xf numFmtId="165" fontId="34" fillId="6" borderId="0" xfId="19" applyNumberFormat="1" applyFont="1" applyFill="1" applyBorder="1" applyAlignment="1" applyProtection="1">
      <alignment horizontal="right" vertical="center" shrinkToFit="1" readingOrder="2"/>
      <protection locked="0"/>
    </xf>
    <xf numFmtId="165" fontId="34" fillId="8" borderId="24" xfId="19" applyNumberFormat="1" applyFont="1" applyFill="1" applyBorder="1" applyAlignment="1" applyProtection="1">
      <alignment horizontal="right" vertical="center" shrinkToFit="1" readingOrder="2"/>
      <protection locked="0"/>
    </xf>
    <xf numFmtId="165" fontId="40" fillId="9" borderId="13" xfId="19" applyNumberFormat="1" applyFont="1" applyFill="1" applyBorder="1" applyAlignment="1" applyProtection="1">
      <alignment horizontal="right" vertical="center" shrinkToFit="1" readingOrder="2"/>
    </xf>
    <xf numFmtId="0" fontId="46" fillId="6" borderId="0" xfId="14" applyNumberFormat="1" applyFont="1" applyFill="1" applyBorder="1" applyAlignment="1" applyProtection="1">
      <alignment horizontal="right" vertical="center" shrinkToFit="1" readingOrder="2"/>
    </xf>
    <xf numFmtId="0" fontId="34" fillId="6" borderId="0" xfId="19" applyNumberFormat="1" applyFont="1" applyFill="1" applyBorder="1" applyAlignment="1" applyProtection="1">
      <alignment horizontal="right" vertical="center" shrinkToFit="1" readingOrder="2"/>
      <protection locked="0"/>
    </xf>
    <xf numFmtId="165" fontId="34" fillId="8" borderId="13" xfId="19" applyNumberFormat="1" applyFont="1" applyFill="1" applyBorder="1" applyAlignment="1" applyProtection="1">
      <alignment horizontal="right" vertical="center" shrinkToFit="1" readingOrder="2"/>
      <protection locked="0"/>
    </xf>
    <xf numFmtId="0" fontId="34" fillId="6" borderId="0" xfId="19" applyNumberFormat="1" applyFont="1" applyFill="1" applyBorder="1" applyAlignment="1" applyProtection="1">
      <alignment horizontal="right" vertical="center" shrinkToFit="1" readingOrder="2"/>
    </xf>
    <xf numFmtId="165" fontId="34" fillId="8" borderId="12" xfId="19" applyNumberFormat="1" applyFont="1" applyFill="1" applyBorder="1" applyAlignment="1" applyProtection="1">
      <alignment horizontal="right" vertical="center" shrinkToFit="1" readingOrder="2"/>
      <protection locked="0"/>
    </xf>
    <xf numFmtId="0" fontId="48" fillId="6" borderId="8" xfId="19" applyNumberFormat="1" applyFont="1" applyFill="1" applyBorder="1" applyAlignment="1" applyProtection="1">
      <alignment horizontal="right" vertical="center" shrinkToFit="1" readingOrder="2"/>
    </xf>
    <xf numFmtId="165" fontId="40" fillId="9" borderId="14" xfId="19" applyNumberFormat="1" applyFont="1" applyFill="1" applyBorder="1" applyAlignment="1" applyProtection="1">
      <alignment horizontal="right" vertical="center" shrinkToFit="1" readingOrder="2"/>
    </xf>
    <xf numFmtId="49" fontId="48" fillId="6" borderId="8" xfId="19" applyNumberFormat="1" applyFont="1" applyFill="1" applyBorder="1" applyAlignment="1" applyProtection="1">
      <alignment horizontal="right" vertical="center" shrinkToFit="1" readingOrder="2"/>
    </xf>
    <xf numFmtId="165" fontId="34" fillId="7" borderId="13" xfId="19" applyNumberFormat="1" applyFont="1" applyFill="1" applyBorder="1" applyAlignment="1" applyProtection="1">
      <alignment horizontal="right" vertical="center" shrinkToFit="1" readingOrder="2"/>
    </xf>
    <xf numFmtId="165" fontId="34" fillId="7" borderId="12" xfId="19" applyNumberFormat="1" applyFont="1" applyFill="1" applyBorder="1" applyAlignment="1" applyProtection="1">
      <alignment horizontal="right" vertical="center" shrinkToFit="1" readingOrder="2"/>
    </xf>
    <xf numFmtId="165" fontId="34" fillId="7" borderId="14" xfId="19" applyNumberFormat="1" applyFont="1" applyFill="1" applyBorder="1" applyAlignment="1" applyProtection="1">
      <alignment horizontal="right" vertical="center" shrinkToFit="1" readingOrder="2"/>
    </xf>
    <xf numFmtId="0" fontId="46" fillId="6" borderId="8" xfId="19" applyFont="1" applyFill="1" applyBorder="1" applyAlignment="1" applyProtection="1">
      <alignment horizontal="right" vertical="center" shrinkToFit="1" readingOrder="2"/>
    </xf>
    <xf numFmtId="165" fontId="34" fillId="7" borderId="15" xfId="19" applyNumberFormat="1" applyFont="1" applyFill="1" applyBorder="1" applyAlignment="1" applyProtection="1">
      <alignment horizontal="right" vertical="center" shrinkToFit="1" readingOrder="2"/>
    </xf>
    <xf numFmtId="165" fontId="40" fillId="6" borderId="0" xfId="19" applyNumberFormat="1" applyFont="1" applyFill="1" applyBorder="1" applyAlignment="1" applyProtection="1">
      <alignment horizontal="right" vertical="center" shrinkToFit="1" readingOrder="2"/>
    </xf>
    <xf numFmtId="0" fontId="34" fillId="6" borderId="9" xfId="14" applyFont="1" applyFill="1" applyBorder="1" applyAlignment="1" applyProtection="1">
      <alignment horizontal="right" vertical="center" shrinkToFit="1" readingOrder="2"/>
    </xf>
    <xf numFmtId="37" fontId="19" fillId="3" borderId="0" xfId="19" applyNumberFormat="1" applyFont="1" applyFill="1" applyAlignment="1" applyProtection="1">
      <alignment horizontal="right" vertical="center" shrinkToFit="1" readingOrder="2"/>
    </xf>
    <xf numFmtId="0" fontId="34" fillId="6" borderId="3" xfId="14" applyFont="1" applyFill="1" applyBorder="1" applyAlignment="1" applyProtection="1">
      <alignment horizontal="right" vertical="center" shrinkToFit="1" readingOrder="2"/>
    </xf>
    <xf numFmtId="0" fontId="34" fillId="6" borderId="3" xfId="19" applyFont="1" applyFill="1" applyBorder="1" applyAlignment="1" applyProtection="1">
      <alignment horizontal="right" vertical="center" shrinkToFit="1" readingOrder="2"/>
    </xf>
    <xf numFmtId="0" fontId="34" fillId="6" borderId="21" xfId="14" applyFont="1" applyFill="1" applyBorder="1" applyAlignment="1" applyProtection="1">
      <alignment horizontal="right" vertical="center" shrinkToFit="1" readingOrder="2"/>
    </xf>
    <xf numFmtId="0" fontId="19" fillId="3" borderId="22" xfId="19" applyFont="1" applyFill="1" applyBorder="1" applyAlignment="1" applyProtection="1">
      <alignment horizontal="right" vertical="center" shrinkToFit="1" readingOrder="2"/>
    </xf>
    <xf numFmtId="0" fontId="19" fillId="2" borderId="25" xfId="19" applyFont="1" applyFill="1" applyBorder="1" applyAlignment="1" applyProtection="1">
      <alignment horizontal="right" vertical="center" shrinkToFit="1" readingOrder="2"/>
    </xf>
    <xf numFmtId="37" fontId="19" fillId="2" borderId="25" xfId="19" applyNumberFormat="1" applyFont="1" applyFill="1" applyBorder="1" applyAlignment="1" applyProtection="1">
      <alignment horizontal="right" vertical="center" shrinkToFit="1" readingOrder="2"/>
    </xf>
    <xf numFmtId="37" fontId="19" fillId="2" borderId="0" xfId="19" applyNumberFormat="1" applyFont="1" applyFill="1" applyAlignment="1" applyProtection="1">
      <alignment horizontal="right" vertical="center" shrinkToFit="1" readingOrder="2"/>
    </xf>
    <xf numFmtId="0" fontId="35" fillId="2" borderId="0" xfId="21" applyNumberFormat="1" applyFont="1" applyFill="1" applyBorder="1" applyAlignment="1" applyProtection="1">
      <alignment horizontal="right" vertical="center" readingOrder="2"/>
    </xf>
    <xf numFmtId="0" fontId="19" fillId="2" borderId="0" xfId="19" applyFont="1" applyFill="1" applyAlignment="1" applyProtection="1">
      <alignment horizontal="right" vertical="center" readingOrder="2"/>
    </xf>
    <xf numFmtId="37" fontId="19" fillId="2" borderId="0" xfId="19" applyNumberFormat="1" applyFont="1" applyFill="1" applyAlignment="1" applyProtection="1">
      <alignment horizontal="right" vertical="center" readingOrder="2"/>
    </xf>
    <xf numFmtId="0" fontId="38" fillId="2" borderId="0" xfId="14" applyFont="1" applyFill="1" applyAlignment="1" applyProtection="1">
      <alignment horizontal="right" vertical="center" shrinkToFit="1" readingOrder="2"/>
    </xf>
    <xf numFmtId="0" fontId="35" fillId="2" borderId="0" xfId="19" applyNumberFormat="1" applyFont="1" applyFill="1" applyBorder="1" applyAlignment="1" applyProtection="1">
      <alignment horizontal="right" vertical="center" shrinkToFit="1" readingOrder="2"/>
    </xf>
    <xf numFmtId="0" fontId="35" fillId="2" borderId="0" xfId="14" applyNumberFormat="1" applyFont="1" applyFill="1" applyBorder="1" applyAlignment="1" applyProtection="1">
      <alignment horizontal="right" vertical="center" shrinkToFit="1" readingOrder="2"/>
    </xf>
    <xf numFmtId="0" fontId="35" fillId="2" borderId="0" xfId="19" applyFont="1" applyFill="1" applyBorder="1" applyAlignment="1" applyProtection="1">
      <alignment horizontal="right" vertical="center" shrinkToFit="1" readingOrder="2"/>
    </xf>
    <xf numFmtId="0" fontId="38" fillId="2" borderId="0" xfId="19" applyFont="1" applyFill="1" applyBorder="1" applyAlignment="1" applyProtection="1">
      <alignment horizontal="right" vertical="center" shrinkToFit="1" readingOrder="2"/>
    </xf>
    <xf numFmtId="37" fontId="38" fillId="2" borderId="0" xfId="19" applyNumberFormat="1" applyFont="1" applyFill="1" applyBorder="1" applyAlignment="1" applyProtection="1">
      <alignment horizontal="right" vertical="center" shrinkToFit="1" readingOrder="2"/>
    </xf>
    <xf numFmtId="0" fontId="32" fillId="2" borderId="0" xfId="19" applyNumberFormat="1" applyFont="1" applyFill="1" applyBorder="1" applyAlignment="1" applyProtection="1">
      <alignment horizontal="right" vertical="center" shrinkToFit="1" readingOrder="2"/>
    </xf>
    <xf numFmtId="0" fontId="50" fillId="2" borderId="0" xfId="19" applyFont="1" applyFill="1" applyBorder="1" applyAlignment="1" applyProtection="1">
      <alignment horizontal="right" vertical="center" shrinkToFit="1" readingOrder="2"/>
    </xf>
    <xf numFmtId="0" fontId="51" fillId="2" borderId="0" xfId="19" applyNumberFormat="1" applyFont="1" applyFill="1" applyBorder="1" applyAlignment="1" applyProtection="1">
      <alignment horizontal="right" vertical="center" shrinkToFit="1" readingOrder="2"/>
    </xf>
    <xf numFmtId="0" fontId="32" fillId="2" borderId="0" xfId="14" applyFont="1" applyFill="1" applyBorder="1" applyAlignment="1" applyProtection="1">
      <alignment horizontal="right" vertical="center" shrinkToFit="1" readingOrder="2"/>
    </xf>
    <xf numFmtId="0" fontId="32" fillId="2" borderId="0" xfId="14" applyNumberFormat="1" applyFont="1" applyFill="1" applyBorder="1" applyAlignment="1" applyProtection="1">
      <alignment horizontal="right" vertical="center" shrinkToFit="1" readingOrder="2"/>
    </xf>
    <xf numFmtId="49" fontId="32" fillId="2" borderId="0" xfId="14" applyNumberFormat="1" applyFont="1" applyFill="1" applyBorder="1" applyAlignment="1" applyProtection="1">
      <alignment horizontal="right" vertical="center" shrinkToFit="1" readingOrder="2"/>
    </xf>
    <xf numFmtId="165" fontId="35" fillId="2" borderId="14" xfId="19" applyNumberFormat="1" applyFont="1" applyFill="1" applyBorder="1" applyAlignment="1" applyProtection="1">
      <alignment horizontal="right" vertical="center" shrinkToFit="1" readingOrder="2"/>
    </xf>
    <xf numFmtId="0" fontId="32" fillId="2" borderId="0" xfId="19" applyFont="1" applyFill="1" applyAlignment="1" applyProtection="1">
      <alignment horizontal="right" vertical="center" readingOrder="2"/>
    </xf>
    <xf numFmtId="0" fontId="33" fillId="2" borderId="0" xfId="19" applyFont="1" applyFill="1" applyAlignment="1" applyProtection="1">
      <alignment horizontal="right" vertical="center" readingOrder="2"/>
    </xf>
    <xf numFmtId="0" fontId="33" fillId="2" borderId="0" xfId="19" applyFont="1" applyFill="1" applyAlignment="1" applyProtection="1">
      <alignment horizontal="right" vertical="center" wrapText="1" readingOrder="2"/>
    </xf>
    <xf numFmtId="37" fontId="33" fillId="2" borderId="0" xfId="19" applyNumberFormat="1" applyFont="1" applyFill="1" applyAlignment="1" applyProtection="1">
      <alignment horizontal="right" vertical="center" readingOrder="2"/>
    </xf>
    <xf numFmtId="0" fontId="19" fillId="2" borderId="0" xfId="19" applyFont="1" applyFill="1" applyAlignment="1" applyProtection="1">
      <alignment horizontal="right" vertical="center" wrapText="1" readingOrder="2"/>
    </xf>
    <xf numFmtId="0" fontId="52" fillId="4" borderId="0" xfId="20" applyFont="1" applyFill="1" applyAlignment="1" applyProtection="1">
      <alignment horizontal="right" vertical="center" readingOrder="2"/>
    </xf>
    <xf numFmtId="0" fontId="53" fillId="4" borderId="0" xfId="14" applyFont="1" applyFill="1" applyAlignment="1" applyProtection="1">
      <alignment horizontal="right" vertical="center" readingOrder="2"/>
    </xf>
    <xf numFmtId="37" fontId="34" fillId="4" borderId="0" xfId="20" applyNumberFormat="1" applyFont="1" applyFill="1" applyAlignment="1" applyProtection="1">
      <alignment horizontal="right" vertical="center" readingOrder="2"/>
    </xf>
    <xf numFmtId="0" fontId="34" fillId="2" borderId="2" xfId="14" applyFont="1" applyFill="1" applyBorder="1" applyAlignment="1" applyProtection="1">
      <alignment horizontal="right" vertical="center" readingOrder="2"/>
    </xf>
    <xf numFmtId="0" fontId="34" fillId="2" borderId="0" xfId="14" applyFont="1" applyFill="1" applyAlignment="1" applyProtection="1">
      <alignment horizontal="right" vertical="center" readingOrder="2"/>
    </xf>
    <xf numFmtId="0" fontId="54" fillId="4" borderId="0" xfId="14" applyFont="1" applyFill="1" applyAlignment="1" applyProtection="1">
      <alignment horizontal="right" vertical="center" readingOrder="2"/>
    </xf>
    <xf numFmtId="0" fontId="34" fillId="4" borderId="0" xfId="14" applyFont="1" applyFill="1" applyAlignment="1" applyProtection="1">
      <alignment horizontal="right" vertical="center" readingOrder="2"/>
    </xf>
    <xf numFmtId="0" fontId="42" fillId="4" borderId="0" xfId="14" applyFont="1" applyFill="1" applyAlignment="1" applyProtection="1">
      <alignment horizontal="right" vertical="center" readingOrder="2"/>
    </xf>
    <xf numFmtId="0" fontId="56" fillId="4" borderId="0" xfId="20" applyFont="1" applyFill="1" applyAlignment="1" applyProtection="1">
      <alignment horizontal="right" vertical="center" readingOrder="2"/>
    </xf>
    <xf numFmtId="0" fontId="34" fillId="4" borderId="0" xfId="20" applyFont="1" applyFill="1" applyAlignment="1" applyProtection="1">
      <alignment horizontal="right" vertical="center" readingOrder="2"/>
    </xf>
    <xf numFmtId="0" fontId="57" fillId="4" borderId="0" xfId="20" applyFont="1" applyFill="1" applyAlignment="1" applyProtection="1">
      <alignment horizontal="right" vertical="center" readingOrder="2"/>
    </xf>
    <xf numFmtId="0" fontId="40" fillId="4" borderId="0" xfId="14" applyFont="1" applyFill="1" applyAlignment="1" applyProtection="1">
      <alignment horizontal="right" vertical="center" readingOrder="2"/>
    </xf>
    <xf numFmtId="0" fontId="58" fillId="4" borderId="0" xfId="20" applyFont="1" applyFill="1" applyAlignment="1" applyProtection="1">
      <alignment horizontal="right" vertical="center" readingOrder="2"/>
    </xf>
    <xf numFmtId="0" fontId="22" fillId="3" borderId="0" xfId="11" applyFont="1" applyFill="1" applyAlignment="1" applyProtection="1">
      <alignment horizontal="right" vertical="top" readingOrder="2"/>
    </xf>
    <xf numFmtId="0" fontId="22" fillId="3" borderId="3" xfId="11" applyFont="1" applyFill="1" applyBorder="1" applyAlignment="1" applyProtection="1">
      <alignment horizontal="right" vertical="center" readingOrder="2"/>
    </xf>
    <xf numFmtId="0" fontId="32" fillId="3" borderId="3" xfId="14" applyFont="1" applyFill="1" applyBorder="1" applyAlignment="1">
      <alignment horizontal="right" vertical="center" readingOrder="2"/>
    </xf>
    <xf numFmtId="0" fontId="57" fillId="3" borderId="0" xfId="20" applyFont="1" applyFill="1" applyAlignment="1" applyProtection="1">
      <alignment horizontal="right" vertical="center" readingOrder="2"/>
    </xf>
    <xf numFmtId="0" fontId="58" fillId="3" borderId="0" xfId="20" applyFont="1" applyFill="1" applyAlignment="1" applyProtection="1">
      <alignment horizontal="right" vertical="center" readingOrder="2"/>
    </xf>
    <xf numFmtId="0" fontId="40" fillId="3" borderId="0" xfId="14" applyFont="1" applyFill="1" applyAlignment="1" applyProtection="1">
      <alignment horizontal="right" vertical="center" readingOrder="2"/>
    </xf>
    <xf numFmtId="0" fontId="34" fillId="3" borderId="0" xfId="20" applyFont="1" applyFill="1" applyAlignment="1" applyProtection="1">
      <alignment horizontal="right" vertical="center" readingOrder="2"/>
    </xf>
    <xf numFmtId="0" fontId="34" fillId="3" borderId="0" xfId="14" applyFont="1" applyFill="1" applyAlignment="1" applyProtection="1">
      <alignment horizontal="right" vertical="center" readingOrder="2"/>
    </xf>
    <xf numFmtId="37" fontId="34" fillId="3" borderId="0" xfId="20" applyNumberFormat="1" applyFont="1" applyFill="1" applyAlignment="1" applyProtection="1">
      <alignment horizontal="right" vertical="center" readingOrder="2"/>
    </xf>
    <xf numFmtId="0" fontId="28" fillId="5" borderId="26" xfId="20" applyFont="1" applyFill="1" applyBorder="1" applyAlignment="1" applyProtection="1">
      <alignment horizontal="right" vertical="center" readingOrder="2"/>
    </xf>
    <xf numFmtId="0" fontId="37" fillId="5" borderId="27" xfId="14" applyFont="1" applyFill="1" applyBorder="1" applyAlignment="1" applyProtection="1">
      <alignment horizontal="right" vertical="center" readingOrder="2"/>
    </xf>
    <xf numFmtId="0" fontId="37" fillId="5" borderId="27" xfId="20" applyFont="1" applyFill="1" applyBorder="1" applyAlignment="1" applyProtection="1">
      <alignment horizontal="right" vertical="center" readingOrder="2"/>
    </xf>
    <xf numFmtId="0" fontId="28" fillId="5" borderId="27" xfId="14" applyFont="1" applyFill="1" applyBorder="1" applyAlignment="1" applyProtection="1">
      <alignment horizontal="right" vertical="center" readingOrder="2"/>
    </xf>
    <xf numFmtId="0" fontId="37" fillId="5" borderId="26" xfId="20" applyFont="1" applyFill="1" applyBorder="1" applyAlignment="1" applyProtection="1">
      <alignment horizontal="right" vertical="center" readingOrder="2"/>
    </xf>
    <xf numFmtId="0" fontId="37" fillId="5" borderId="28" xfId="20" applyFont="1" applyFill="1" applyBorder="1" applyAlignment="1" applyProtection="1">
      <alignment horizontal="right" vertical="center" readingOrder="2"/>
    </xf>
    <xf numFmtId="0" fontId="28" fillId="5" borderId="29" xfId="20" applyFont="1" applyFill="1" applyBorder="1" applyAlignment="1" applyProtection="1">
      <alignment horizontal="right" vertical="center" readingOrder="2"/>
    </xf>
    <xf numFmtId="0" fontId="37" fillId="5" borderId="30" xfId="20" applyFont="1" applyFill="1" applyBorder="1" applyAlignment="1" applyProtection="1">
      <alignment horizontal="right" vertical="center" readingOrder="2"/>
    </xf>
    <xf numFmtId="0" fontId="37" fillId="5" borderId="31" xfId="20" applyFont="1" applyFill="1" applyBorder="1" applyAlignment="1" applyProtection="1">
      <alignment horizontal="right" vertical="center" readingOrder="2"/>
    </xf>
    <xf numFmtId="0" fontId="37" fillId="5" borderId="32" xfId="20" applyFont="1" applyFill="1" applyBorder="1" applyAlignment="1" applyProtection="1">
      <alignment horizontal="right" vertical="center" readingOrder="2"/>
    </xf>
    <xf numFmtId="0" fontId="37" fillId="5" borderId="33" xfId="20" applyFont="1" applyFill="1" applyBorder="1" applyAlignment="1" applyProtection="1">
      <alignment horizontal="right" vertical="center" readingOrder="2"/>
    </xf>
    <xf numFmtId="49" fontId="34" fillId="5" borderId="32" xfId="14" applyNumberFormat="1" applyFont="1" applyFill="1" applyBorder="1" applyAlignment="1" applyProtection="1">
      <alignment horizontal="right" vertical="center" readingOrder="2"/>
    </xf>
    <xf numFmtId="0" fontId="28" fillId="5" borderId="3" xfId="20" applyFont="1" applyFill="1" applyBorder="1" applyAlignment="1" applyProtection="1">
      <alignment horizontal="right" vertical="center" readingOrder="2"/>
    </xf>
    <xf numFmtId="0" fontId="37" fillId="5" borderId="34" xfId="20" applyFont="1" applyFill="1" applyBorder="1" applyAlignment="1" applyProtection="1">
      <alignment horizontal="right" vertical="center" readingOrder="2"/>
    </xf>
    <xf numFmtId="0" fontId="37" fillId="5" borderId="35" xfId="20" applyFont="1" applyFill="1" applyBorder="1" applyAlignment="1" applyProtection="1">
      <alignment horizontal="right" vertical="center" readingOrder="2"/>
    </xf>
    <xf numFmtId="0" fontId="37" fillId="5" borderId="36" xfId="20" applyFont="1" applyFill="1" applyBorder="1" applyAlignment="1" applyProtection="1">
      <alignment horizontal="right" vertical="center" readingOrder="2"/>
    </xf>
    <xf numFmtId="0" fontId="37" fillId="5" borderId="3" xfId="20" applyFont="1" applyFill="1" applyBorder="1" applyAlignment="1" applyProtection="1">
      <alignment horizontal="right" vertical="center" readingOrder="2"/>
    </xf>
    <xf numFmtId="0" fontId="59" fillId="5" borderId="3" xfId="20" applyFont="1" applyFill="1" applyBorder="1" applyAlignment="1" applyProtection="1">
      <alignment horizontal="right" vertical="center" readingOrder="2"/>
    </xf>
    <xf numFmtId="49" fontId="32" fillId="5" borderId="35" xfId="14" applyNumberFormat="1" applyFont="1" applyFill="1" applyBorder="1" applyAlignment="1" applyProtection="1">
      <alignment horizontal="right" vertical="center" readingOrder="2"/>
    </xf>
    <xf numFmtId="0" fontId="34" fillId="6" borderId="0" xfId="20" applyFont="1" applyFill="1" applyBorder="1" applyAlignment="1" applyProtection="1">
      <alignment horizontal="right" vertical="center" readingOrder="2"/>
    </xf>
    <xf numFmtId="0" fontId="34" fillId="6" borderId="9" xfId="20" applyFont="1" applyFill="1" applyBorder="1" applyAlignment="1" applyProtection="1">
      <alignment horizontal="right" vertical="center" readingOrder="2"/>
    </xf>
    <xf numFmtId="0" fontId="34" fillId="6" borderId="8" xfId="20" applyFont="1" applyFill="1" applyBorder="1" applyAlignment="1" applyProtection="1">
      <alignment horizontal="right" vertical="center" readingOrder="2"/>
    </xf>
    <xf numFmtId="0" fontId="60" fillId="6" borderId="0" xfId="20" applyFont="1" applyFill="1" applyBorder="1" applyAlignment="1" applyProtection="1">
      <alignment horizontal="right" vertical="center" readingOrder="2"/>
    </xf>
    <xf numFmtId="49" fontId="34" fillId="6" borderId="0" xfId="20" applyNumberFormat="1" applyFont="1" applyFill="1" applyBorder="1" applyAlignment="1" applyProtection="1">
      <alignment horizontal="right" vertical="center" readingOrder="2"/>
    </xf>
    <xf numFmtId="0" fontId="56" fillId="6" borderId="0" xfId="20" applyFont="1" applyFill="1" applyBorder="1" applyAlignment="1" applyProtection="1">
      <alignment horizontal="right" vertical="center" readingOrder="2"/>
    </xf>
    <xf numFmtId="0" fontId="34" fillId="6" borderId="0" xfId="20" applyFont="1" applyFill="1" applyBorder="1" applyAlignment="1" applyProtection="1">
      <alignment horizontal="right" vertical="center" shrinkToFit="1" readingOrder="2"/>
    </xf>
    <xf numFmtId="37" fontId="34" fillId="6" borderId="0" xfId="20" applyNumberFormat="1" applyFont="1" applyFill="1" applyBorder="1" applyAlignment="1" applyProtection="1">
      <alignment horizontal="right" vertical="center" readingOrder="2"/>
    </xf>
    <xf numFmtId="49" fontId="34" fillId="6" borderId="8" xfId="20" applyNumberFormat="1" applyFont="1" applyFill="1" applyBorder="1" applyAlignment="1" applyProtection="1">
      <alignment horizontal="right" vertical="center" readingOrder="2"/>
    </xf>
    <xf numFmtId="37" fontId="56" fillId="6" borderId="0" xfId="20" applyNumberFormat="1" applyFont="1" applyFill="1" applyBorder="1" applyAlignment="1" applyProtection="1">
      <alignment horizontal="right" vertical="center" readingOrder="2"/>
    </xf>
    <xf numFmtId="0" fontId="34" fillId="6" borderId="0" xfId="14" applyFont="1" applyFill="1" applyBorder="1" applyAlignment="1" applyProtection="1">
      <alignment horizontal="right" vertical="center" readingOrder="2"/>
    </xf>
    <xf numFmtId="0" fontId="34" fillId="6" borderId="0" xfId="14" applyFont="1" applyFill="1" applyBorder="1" applyAlignment="1" applyProtection="1">
      <alignment horizontal="right" vertical="center" shrinkToFit="1" readingOrder="2"/>
      <protection locked="0"/>
    </xf>
    <xf numFmtId="165" fontId="34" fillId="8" borderId="11" xfId="14" applyNumberFormat="1" applyFont="1" applyFill="1" applyBorder="1" applyAlignment="1" applyProtection="1">
      <alignment horizontal="right" vertical="center" shrinkToFit="1" readingOrder="2"/>
      <protection locked="0"/>
    </xf>
    <xf numFmtId="3" fontId="34" fillId="6" borderId="0" xfId="14" applyNumberFormat="1" applyFont="1" applyFill="1" applyBorder="1" applyAlignment="1" applyProtection="1">
      <alignment horizontal="right" vertical="center" readingOrder="2"/>
    </xf>
    <xf numFmtId="3" fontId="34" fillId="6" borderId="0" xfId="14" applyNumberFormat="1" applyFont="1" applyFill="1" applyBorder="1" applyAlignment="1" applyProtection="1">
      <alignment horizontal="right" vertical="center" shrinkToFit="1" readingOrder="2"/>
    </xf>
    <xf numFmtId="165" fontId="34" fillId="8" borderId="10" xfId="14" applyNumberFormat="1" applyFont="1" applyFill="1" applyBorder="1" applyAlignment="1" applyProtection="1">
      <alignment horizontal="right" vertical="center" shrinkToFit="1" readingOrder="2"/>
      <protection locked="0"/>
    </xf>
    <xf numFmtId="3" fontId="34" fillId="6" borderId="8" xfId="14" applyNumberFormat="1" applyFont="1" applyFill="1" applyBorder="1" applyAlignment="1" applyProtection="1">
      <alignment horizontal="right" vertical="center" readingOrder="2"/>
    </xf>
    <xf numFmtId="3" fontId="34" fillId="6" borderId="0" xfId="20" applyNumberFormat="1" applyFont="1" applyFill="1" applyBorder="1" applyAlignment="1" applyProtection="1">
      <alignment horizontal="right" vertical="center" readingOrder="2"/>
    </xf>
    <xf numFmtId="0" fontId="34" fillId="6" borderId="0" xfId="14" applyNumberFormat="1" applyFont="1" applyFill="1" applyBorder="1" applyAlignment="1" applyProtection="1">
      <alignment horizontal="right" vertical="center" readingOrder="2"/>
      <protection locked="0"/>
    </xf>
    <xf numFmtId="165" fontId="34" fillId="6" borderId="0" xfId="20" applyNumberFormat="1" applyFont="1" applyFill="1" applyBorder="1" applyAlignment="1" applyProtection="1">
      <alignment horizontal="right" vertical="center" shrinkToFit="1" readingOrder="2"/>
    </xf>
    <xf numFmtId="165" fontId="34" fillId="8" borderId="11" xfId="20" applyNumberFormat="1" applyFont="1" applyFill="1" applyBorder="1" applyAlignment="1" applyProtection="1">
      <alignment horizontal="right" vertical="center" shrinkToFit="1" readingOrder="2"/>
      <protection locked="0"/>
    </xf>
    <xf numFmtId="37" fontId="34" fillId="6" borderId="9" xfId="20" applyNumberFormat="1" applyFont="1" applyFill="1" applyBorder="1" applyAlignment="1" applyProtection="1">
      <alignment horizontal="right" vertical="center" readingOrder="2"/>
    </xf>
    <xf numFmtId="165" fontId="34" fillId="8" borderId="12" xfId="14" applyNumberFormat="1" applyFont="1" applyFill="1" applyBorder="1" applyAlignment="1" applyProtection="1">
      <alignment horizontal="right" vertical="center" shrinkToFit="1" readingOrder="2"/>
      <protection locked="0"/>
    </xf>
    <xf numFmtId="0" fontId="34" fillId="6" borderId="0" xfId="14" applyFont="1" applyFill="1" applyBorder="1" applyAlignment="1" applyProtection="1">
      <alignment horizontal="right" vertical="center" wrapText="1" readingOrder="2"/>
    </xf>
    <xf numFmtId="3" fontId="34" fillId="6" borderId="8" xfId="20" applyNumberFormat="1" applyFont="1" applyFill="1" applyBorder="1" applyAlignment="1" applyProtection="1">
      <alignment horizontal="right" vertical="center" readingOrder="2"/>
    </xf>
    <xf numFmtId="0" fontId="34" fillId="6" borderId="0" xfId="14" applyNumberFormat="1" applyFont="1" applyFill="1" applyAlignment="1" applyProtection="1">
      <alignment horizontal="right" vertical="center" readingOrder="2"/>
    </xf>
    <xf numFmtId="165" fontId="34" fillId="9" borderId="14" xfId="20" applyNumberFormat="1" applyFont="1" applyFill="1" applyBorder="1" applyAlignment="1" applyProtection="1">
      <alignment horizontal="right" vertical="center" shrinkToFit="1" readingOrder="2"/>
    </xf>
    <xf numFmtId="3" fontId="34" fillId="6" borderId="0" xfId="20" applyNumberFormat="1" applyFont="1" applyFill="1" applyBorder="1" applyAlignment="1" applyProtection="1">
      <alignment horizontal="right" vertical="center" shrinkToFit="1" readingOrder="2"/>
    </xf>
    <xf numFmtId="165" fontId="34" fillId="8" borderId="12" xfId="20" applyNumberFormat="1" applyFont="1" applyFill="1" applyBorder="1" applyAlignment="1" applyProtection="1">
      <alignment horizontal="right" vertical="center" shrinkToFit="1" readingOrder="2"/>
      <protection locked="0"/>
    </xf>
    <xf numFmtId="0" fontId="34" fillId="6" borderId="0" xfId="14" applyFont="1" applyFill="1" applyAlignment="1" applyProtection="1">
      <alignment horizontal="right" vertical="center" shrinkToFit="1" readingOrder="2"/>
    </xf>
    <xf numFmtId="3" fontId="34" fillId="6" borderId="9" xfId="20" applyNumberFormat="1" applyFont="1" applyFill="1" applyBorder="1" applyAlignment="1" applyProtection="1">
      <alignment horizontal="right" vertical="center" readingOrder="2"/>
    </xf>
    <xf numFmtId="0" fontId="34" fillId="6" borderId="0" xfId="20" applyNumberFormat="1" applyFont="1" applyFill="1" applyBorder="1" applyAlignment="1" applyProtection="1">
      <alignment horizontal="right" vertical="center" readingOrder="2"/>
    </xf>
    <xf numFmtId="3" fontId="56" fillId="6" borderId="0" xfId="20" applyNumberFormat="1" applyFont="1" applyFill="1" applyBorder="1" applyAlignment="1" applyProtection="1">
      <alignment horizontal="right" vertical="center" readingOrder="2"/>
    </xf>
    <xf numFmtId="0" fontId="34" fillId="6" borderId="0" xfId="20" applyFont="1" applyFill="1" applyBorder="1" applyAlignment="1" applyProtection="1">
      <alignment horizontal="right" vertical="center" shrinkToFit="1" readingOrder="2"/>
      <protection locked="0"/>
    </xf>
    <xf numFmtId="0" fontId="34" fillId="6" borderId="0" xfId="20" applyNumberFormat="1" applyFont="1" applyFill="1" applyBorder="1" applyAlignment="1" applyProtection="1">
      <alignment horizontal="right" vertical="center" readingOrder="2"/>
      <protection locked="0"/>
    </xf>
    <xf numFmtId="37" fontId="34" fillId="6" borderId="0" xfId="14" applyNumberFormat="1" applyFont="1" applyFill="1" applyBorder="1" applyAlignment="1" applyProtection="1">
      <alignment horizontal="right" vertical="center" readingOrder="2"/>
    </xf>
    <xf numFmtId="0" fontId="34" fillId="6" borderId="0" xfId="14" applyFont="1" applyFill="1" applyAlignment="1" applyProtection="1">
      <alignment horizontal="right" vertical="center" readingOrder="2"/>
    </xf>
    <xf numFmtId="3" fontId="34" fillId="6" borderId="0" xfId="14" applyNumberFormat="1" applyFont="1" applyFill="1" applyAlignment="1" applyProtection="1">
      <alignment horizontal="right" vertical="center" shrinkToFit="1" readingOrder="2"/>
    </xf>
    <xf numFmtId="0" fontId="34" fillId="6" borderId="0" xfId="14" applyNumberFormat="1" applyFont="1" applyFill="1" applyBorder="1" applyAlignment="1" applyProtection="1">
      <alignment horizontal="right" vertical="center" readingOrder="2"/>
    </xf>
    <xf numFmtId="37" fontId="34" fillId="6" borderId="0" xfId="20" applyNumberFormat="1" applyFont="1" applyFill="1" applyBorder="1" applyAlignment="1" applyProtection="1">
      <alignment horizontal="right" vertical="center" shrinkToFit="1" readingOrder="2"/>
    </xf>
    <xf numFmtId="37" fontId="34" fillId="6" borderId="8" xfId="20" applyNumberFormat="1" applyFont="1" applyFill="1" applyBorder="1" applyAlignment="1" applyProtection="1">
      <alignment horizontal="right" vertical="center" readingOrder="2"/>
    </xf>
    <xf numFmtId="49" fontId="34" fillId="6" borderId="0" xfId="14" applyNumberFormat="1" applyFont="1" applyFill="1" applyBorder="1" applyAlignment="1" applyProtection="1">
      <alignment horizontal="right" vertical="center" readingOrder="2"/>
    </xf>
    <xf numFmtId="0" fontId="56" fillId="6" borderId="0" xfId="14" applyFont="1" applyFill="1" applyAlignment="1" applyProtection="1">
      <alignment horizontal="right" vertical="center" readingOrder="2"/>
    </xf>
    <xf numFmtId="37" fontId="34" fillId="6" borderId="0" xfId="20" applyNumberFormat="1" applyFont="1" applyFill="1" applyBorder="1" applyAlignment="1" applyProtection="1">
      <alignment horizontal="right" vertical="center" wrapText="1" readingOrder="2"/>
    </xf>
    <xf numFmtId="165" fontId="34" fillId="7" borderId="13" xfId="20" applyNumberFormat="1" applyFont="1" applyFill="1" applyBorder="1" applyAlignment="1" applyProtection="1">
      <alignment horizontal="right" vertical="center" shrinkToFit="1" readingOrder="2"/>
    </xf>
    <xf numFmtId="49" fontId="32" fillId="6" borderId="8" xfId="14" applyNumberFormat="1" applyFont="1" applyFill="1" applyBorder="1" applyAlignment="1" applyProtection="1">
      <alignment horizontal="right" vertical="center" shrinkToFit="1" readingOrder="2"/>
    </xf>
    <xf numFmtId="37" fontId="40" fillId="6" borderId="0" xfId="20" applyNumberFormat="1" applyFont="1" applyFill="1" applyBorder="1" applyAlignment="1" applyProtection="1">
      <alignment horizontal="right" vertical="center" readingOrder="2"/>
    </xf>
    <xf numFmtId="0" fontId="34" fillId="6" borderId="9" xfId="14" applyFont="1" applyFill="1" applyBorder="1" applyAlignment="1" applyProtection="1">
      <alignment horizontal="right" vertical="center" readingOrder="2"/>
    </xf>
    <xf numFmtId="0" fontId="40" fillId="6" borderId="0" xfId="20" applyFont="1" applyFill="1" applyBorder="1" applyAlignment="1" applyProtection="1">
      <alignment horizontal="right" vertical="center" readingOrder="2"/>
    </xf>
    <xf numFmtId="165" fontId="34" fillId="7" borderId="15" xfId="20" applyNumberFormat="1" applyFont="1" applyFill="1" applyBorder="1" applyAlignment="1" applyProtection="1">
      <alignment horizontal="right" vertical="center" shrinkToFit="1" readingOrder="2"/>
    </xf>
    <xf numFmtId="49" fontId="34" fillId="6" borderId="3" xfId="20" applyNumberFormat="1" applyFont="1" applyFill="1" applyBorder="1" applyAlignment="1" applyProtection="1">
      <alignment horizontal="right" vertical="center" readingOrder="2"/>
    </xf>
    <xf numFmtId="0" fontId="34" fillId="6" borderId="3" xfId="20" applyFont="1" applyFill="1" applyBorder="1" applyAlignment="1" applyProtection="1">
      <alignment horizontal="right" vertical="center" readingOrder="2"/>
    </xf>
    <xf numFmtId="0" fontId="34" fillId="6" borderId="3" xfId="14" applyFont="1" applyFill="1" applyBorder="1" applyAlignment="1" applyProtection="1">
      <alignment horizontal="right" vertical="center" readingOrder="2"/>
    </xf>
    <xf numFmtId="0" fontId="34" fillId="6" borderId="21" xfId="14" applyFont="1" applyFill="1" applyBorder="1" applyAlignment="1" applyProtection="1">
      <alignment horizontal="right" vertical="center" readingOrder="2"/>
    </xf>
    <xf numFmtId="37" fontId="34" fillId="6" borderId="37" xfId="20" applyNumberFormat="1" applyFont="1" applyFill="1" applyBorder="1" applyAlignment="1" applyProtection="1">
      <alignment horizontal="right" vertical="center" readingOrder="2"/>
    </xf>
    <xf numFmtId="37" fontId="34" fillId="6" borderId="3" xfId="20" applyNumberFormat="1" applyFont="1" applyFill="1" applyBorder="1" applyAlignment="1" applyProtection="1">
      <alignment horizontal="right" vertical="center" readingOrder="2"/>
    </xf>
    <xf numFmtId="49" fontId="34" fillId="3" borderId="0" xfId="20" applyNumberFormat="1" applyFont="1" applyFill="1" applyBorder="1" applyAlignment="1" applyProtection="1">
      <alignment horizontal="right" vertical="center" readingOrder="2"/>
    </xf>
    <xf numFmtId="0" fontId="34" fillId="3" borderId="0" xfId="20" applyFont="1" applyFill="1" applyBorder="1" applyAlignment="1" applyProtection="1">
      <alignment horizontal="right" vertical="center" readingOrder="2"/>
    </xf>
    <xf numFmtId="0" fontId="34" fillId="3" borderId="0" xfId="14" applyFont="1" applyFill="1" applyBorder="1" applyAlignment="1" applyProtection="1">
      <alignment horizontal="right" vertical="center" readingOrder="2"/>
    </xf>
    <xf numFmtId="0" fontId="34" fillId="3" borderId="0" xfId="14" applyFont="1" applyFill="1" applyBorder="1" applyAlignment="1" applyProtection="1">
      <alignment horizontal="right" vertical="center" shrinkToFit="1" readingOrder="2"/>
    </xf>
    <xf numFmtId="37" fontId="34" fillId="3" borderId="38" xfId="20" applyNumberFormat="1" applyFont="1" applyFill="1" applyBorder="1" applyAlignment="1" applyProtection="1">
      <alignment horizontal="right" vertical="center" readingOrder="2"/>
    </xf>
    <xf numFmtId="37" fontId="34" fillId="3" borderId="0" xfId="20" applyNumberFormat="1" applyFont="1" applyFill="1" applyBorder="1" applyAlignment="1" applyProtection="1">
      <alignment horizontal="right" vertical="center" readingOrder="2"/>
    </xf>
    <xf numFmtId="0" fontId="40" fillId="3" borderId="0" xfId="20" applyFont="1" applyFill="1" applyBorder="1" applyAlignment="1" applyProtection="1">
      <alignment horizontal="right" vertical="center" readingOrder="2"/>
    </xf>
    <xf numFmtId="37" fontId="40" fillId="3" borderId="0" xfId="20" applyNumberFormat="1" applyFont="1" applyFill="1" applyBorder="1" applyAlignment="1" applyProtection="1">
      <alignment horizontal="right" vertical="center" shrinkToFit="1" readingOrder="2"/>
    </xf>
    <xf numFmtId="165" fontId="40" fillId="7" borderId="0" xfId="20" applyNumberFormat="1" applyFont="1" applyFill="1" applyBorder="1" applyAlignment="1" applyProtection="1">
      <alignment horizontal="right" vertical="center" shrinkToFit="1" readingOrder="2"/>
    </xf>
    <xf numFmtId="37" fontId="34" fillId="3" borderId="0" xfId="20" applyNumberFormat="1" applyFont="1" applyFill="1" applyBorder="1" applyAlignment="1" applyProtection="1">
      <alignment horizontal="right" vertical="center" shrinkToFit="1" readingOrder="2"/>
    </xf>
    <xf numFmtId="3" fontId="40" fillId="3" borderId="0" xfId="20" applyNumberFormat="1" applyFont="1" applyFill="1" applyBorder="1" applyAlignment="1" applyProtection="1">
      <alignment horizontal="right" vertical="center" readingOrder="2"/>
    </xf>
    <xf numFmtId="165" fontId="40" fillId="7" borderId="24" xfId="20" applyNumberFormat="1" applyFont="1" applyFill="1" applyBorder="1" applyAlignment="1" applyProtection="1">
      <alignment horizontal="right" vertical="center" shrinkToFit="1" readingOrder="2"/>
    </xf>
    <xf numFmtId="38" fontId="34" fillId="3" borderId="0" xfId="20" applyNumberFormat="1" applyFont="1" applyFill="1" applyBorder="1" applyAlignment="1" applyProtection="1">
      <alignment horizontal="right" vertical="center" readingOrder="2"/>
    </xf>
    <xf numFmtId="165" fontId="40" fillId="7" borderId="20" xfId="20" applyNumberFormat="1" applyFont="1" applyFill="1" applyBorder="1" applyAlignment="1" applyProtection="1">
      <alignment horizontal="right" vertical="center" shrinkToFit="1" readingOrder="2"/>
    </xf>
    <xf numFmtId="0" fontId="34" fillId="2" borderId="25" xfId="14" applyFont="1" applyFill="1" applyBorder="1" applyAlignment="1" applyProtection="1">
      <alignment horizontal="right" vertical="center" readingOrder="2"/>
    </xf>
    <xf numFmtId="38" fontId="34" fillId="2" borderId="25" xfId="20" applyNumberFormat="1" applyFont="1" applyFill="1" applyBorder="1" applyAlignment="1" applyProtection="1">
      <alignment horizontal="right" vertical="center" readingOrder="2"/>
    </xf>
    <xf numFmtId="37" fontId="34" fillId="2" borderId="25" xfId="20" applyNumberFormat="1" applyFont="1" applyFill="1" applyBorder="1" applyAlignment="1" applyProtection="1">
      <alignment horizontal="right" vertical="center" readingOrder="2"/>
    </xf>
    <xf numFmtId="38" fontId="34" fillId="2" borderId="0" xfId="20" applyNumberFormat="1" applyFont="1" applyFill="1" applyAlignment="1" applyProtection="1">
      <alignment horizontal="right" vertical="center" readingOrder="2"/>
    </xf>
    <xf numFmtId="37" fontId="34" fillId="2" borderId="0" xfId="20" applyNumberFormat="1" applyFont="1" applyFill="1" applyAlignment="1" applyProtection="1">
      <alignment horizontal="right" vertical="center" readingOrder="2"/>
    </xf>
    <xf numFmtId="0" fontId="35" fillId="2" borderId="0" xfId="14" applyFont="1" applyFill="1" applyAlignment="1" applyProtection="1">
      <alignment horizontal="right" vertical="center" readingOrder="2"/>
    </xf>
    <xf numFmtId="0" fontId="32" fillId="2" borderId="0" xfId="14" applyFont="1" applyFill="1" applyAlignment="1" applyProtection="1">
      <alignment horizontal="center" vertical="center" readingOrder="2"/>
    </xf>
    <xf numFmtId="0" fontId="62" fillId="2" borderId="0" xfId="14" applyFont="1" applyFill="1" applyAlignment="1" applyProtection="1">
      <alignment horizontal="center" vertical="center" readingOrder="2"/>
    </xf>
    <xf numFmtId="0" fontId="51" fillId="2" borderId="0" xfId="20" applyFont="1" applyFill="1" applyAlignment="1" applyProtection="1">
      <alignment horizontal="right" vertical="center" readingOrder="2"/>
    </xf>
    <xf numFmtId="0" fontId="51" fillId="2" borderId="0" xfId="20" applyFont="1" applyFill="1" applyAlignment="1" applyProtection="1">
      <alignment horizontal="center" vertical="center" readingOrder="2"/>
    </xf>
    <xf numFmtId="0" fontId="63" fillId="2" borderId="0" xfId="20" applyFont="1" applyFill="1" applyAlignment="1" applyProtection="1">
      <alignment horizontal="center" vertical="center" readingOrder="2"/>
    </xf>
    <xf numFmtId="0" fontId="32" fillId="2" borderId="0" xfId="14" applyFont="1" applyFill="1" applyAlignment="1" applyProtection="1">
      <alignment horizontal="right" vertical="center" readingOrder="2"/>
    </xf>
    <xf numFmtId="0" fontId="32" fillId="2" borderId="0" xfId="20" applyFont="1" applyFill="1" applyAlignment="1" applyProtection="1">
      <alignment horizontal="right" vertical="center" readingOrder="2"/>
    </xf>
    <xf numFmtId="0" fontId="64" fillId="2" borderId="0" xfId="20" applyFont="1" applyFill="1" applyAlignment="1" applyProtection="1">
      <alignment horizontal="right" vertical="center" readingOrder="2"/>
    </xf>
    <xf numFmtId="0" fontId="63" fillId="2" borderId="0" xfId="20" applyFont="1" applyFill="1" applyAlignment="1" applyProtection="1">
      <alignment horizontal="right" vertical="center" readingOrder="2"/>
    </xf>
    <xf numFmtId="0" fontId="35" fillId="2" borderId="39" xfId="20" applyFont="1" applyFill="1" applyBorder="1" applyAlignment="1" applyProtection="1">
      <alignment horizontal="right" vertical="center" readingOrder="2"/>
    </xf>
    <xf numFmtId="0" fontId="32" fillId="2" borderId="40" xfId="14" applyFont="1" applyFill="1" applyBorder="1" applyAlignment="1" applyProtection="1">
      <alignment horizontal="right" vertical="center" readingOrder="2"/>
    </xf>
    <xf numFmtId="0" fontId="35" fillId="2" borderId="40" xfId="14" applyFont="1" applyFill="1" applyBorder="1" applyAlignment="1" applyProtection="1">
      <alignment horizontal="right" vertical="center" readingOrder="2"/>
    </xf>
    <xf numFmtId="0" fontId="35" fillId="2" borderId="41" xfId="14" applyFont="1" applyFill="1" applyBorder="1" applyAlignment="1" applyProtection="1">
      <alignment horizontal="right" vertical="center" readingOrder="2"/>
    </xf>
    <xf numFmtId="0" fontId="35" fillId="2" borderId="40" xfId="20" applyFont="1" applyFill="1" applyBorder="1" applyAlignment="1" applyProtection="1">
      <alignment horizontal="right" vertical="center" readingOrder="2"/>
    </xf>
    <xf numFmtId="0" fontId="35" fillId="2" borderId="42" xfId="20" applyFont="1" applyFill="1" applyBorder="1" applyAlignment="1" applyProtection="1">
      <alignment horizontal="right" vertical="center" readingOrder="2"/>
    </xf>
    <xf numFmtId="0" fontId="35" fillId="2" borderId="43" xfId="20" applyFont="1" applyFill="1" applyBorder="1" applyAlignment="1" applyProtection="1">
      <alignment horizontal="right" vertical="center" readingOrder="2"/>
    </xf>
    <xf numFmtId="0" fontId="65" fillId="2" borderId="44" xfId="20" applyFont="1" applyFill="1" applyBorder="1" applyAlignment="1" applyProtection="1">
      <alignment horizontal="center" vertical="center" readingOrder="2"/>
    </xf>
    <xf numFmtId="0" fontId="35" fillId="2" borderId="44" xfId="20" applyFont="1" applyFill="1" applyBorder="1" applyAlignment="1" applyProtection="1">
      <alignment horizontal="right" vertical="center" readingOrder="2"/>
    </xf>
    <xf numFmtId="49" fontId="35" fillId="2" borderId="42" xfId="20" applyNumberFormat="1" applyFont="1" applyFill="1" applyBorder="1" applyAlignment="1" applyProtection="1">
      <alignment horizontal="right" vertical="center" readingOrder="2"/>
    </xf>
    <xf numFmtId="0" fontId="35" fillId="2" borderId="45" xfId="20" applyFont="1" applyFill="1" applyBorder="1" applyAlignment="1" applyProtection="1">
      <alignment horizontal="right" vertical="center" readingOrder="2"/>
    </xf>
    <xf numFmtId="0" fontId="32" fillId="2" borderId="46" xfId="14" applyFont="1" applyFill="1" applyBorder="1" applyAlignment="1" applyProtection="1">
      <alignment horizontal="right" vertical="center" readingOrder="2"/>
    </xf>
    <xf numFmtId="0" fontId="35" fillId="2" borderId="46" xfId="20" applyFont="1" applyFill="1" applyBorder="1" applyAlignment="1" applyProtection="1">
      <alignment horizontal="right" vertical="center" readingOrder="2"/>
    </xf>
    <xf numFmtId="0" fontId="51" fillId="2" borderId="47" xfId="20" applyFont="1" applyFill="1" applyBorder="1" applyAlignment="1" applyProtection="1">
      <alignment horizontal="right" vertical="center" readingOrder="2"/>
    </xf>
    <xf numFmtId="49" fontId="35" fillId="2" borderId="45" xfId="20" applyNumberFormat="1" applyFont="1" applyFill="1" applyBorder="1" applyAlignment="1" applyProtection="1">
      <alignment horizontal="right" vertical="center" readingOrder="2"/>
    </xf>
    <xf numFmtId="0" fontId="32" fillId="2" borderId="47" xfId="14" applyFont="1" applyFill="1" applyBorder="1" applyAlignment="1" applyProtection="1">
      <alignment horizontal="right" vertical="center" readingOrder="2"/>
    </xf>
    <xf numFmtId="0" fontId="32" fillId="2" borderId="29" xfId="20" applyFont="1" applyFill="1" applyBorder="1" applyAlignment="1" applyProtection="1">
      <alignment horizontal="right" vertical="center" readingOrder="2"/>
    </xf>
    <xf numFmtId="0" fontId="32" fillId="2" borderId="0" xfId="20" applyFont="1" applyFill="1" applyBorder="1" applyAlignment="1" applyProtection="1">
      <alignment horizontal="right" vertical="center" shrinkToFit="1" readingOrder="2"/>
    </xf>
    <xf numFmtId="0" fontId="32" fillId="2" borderId="48" xfId="20" applyFont="1" applyFill="1" applyBorder="1" applyAlignment="1" applyProtection="1">
      <alignment horizontal="right" vertical="center" readingOrder="2"/>
    </xf>
    <xf numFmtId="0" fontId="32" fillId="2" borderId="0" xfId="20" applyFont="1" applyFill="1" applyBorder="1" applyAlignment="1" applyProtection="1">
      <alignment horizontal="right" vertical="center" readingOrder="2"/>
    </xf>
    <xf numFmtId="0" fontId="51" fillId="2" borderId="0" xfId="20" applyNumberFormat="1" applyFont="1" applyFill="1" applyBorder="1" applyAlignment="1" applyProtection="1">
      <alignment horizontal="right" vertical="center" wrapText="1" readingOrder="2"/>
    </xf>
    <xf numFmtId="37" fontId="32" fillId="2" borderId="0" xfId="20" applyNumberFormat="1" applyFont="1" applyFill="1" applyBorder="1" applyAlignment="1" applyProtection="1">
      <alignment horizontal="right" vertical="center" shrinkToFit="1" readingOrder="2"/>
    </xf>
    <xf numFmtId="37" fontId="32" fillId="2" borderId="0" xfId="20" applyNumberFormat="1" applyFont="1" applyFill="1" applyBorder="1" applyAlignment="1" applyProtection="1">
      <alignment horizontal="right" vertical="center" readingOrder="2"/>
    </xf>
    <xf numFmtId="0" fontId="32" fillId="2" borderId="0" xfId="20" applyNumberFormat="1" applyFont="1" applyFill="1" applyBorder="1" applyAlignment="1" applyProtection="1">
      <alignment horizontal="right" vertical="center" shrinkToFit="1" readingOrder="2"/>
    </xf>
    <xf numFmtId="0" fontId="32" fillId="2" borderId="0" xfId="20" applyNumberFormat="1" applyFont="1" applyFill="1" applyBorder="1" applyAlignment="1" applyProtection="1">
      <alignment horizontal="right" vertical="center" wrapText="1" readingOrder="2"/>
    </xf>
    <xf numFmtId="165" fontId="32" fillId="2" borderId="0" xfId="14" applyNumberFormat="1" applyFont="1" applyFill="1" applyBorder="1" applyAlignment="1" applyProtection="1">
      <alignment horizontal="right" vertical="center" shrinkToFit="1" readingOrder="2"/>
    </xf>
    <xf numFmtId="3" fontId="32" fillId="2" borderId="0" xfId="14" applyNumberFormat="1" applyFont="1" applyFill="1" applyBorder="1" applyAlignment="1" applyProtection="1">
      <alignment horizontal="right" vertical="center" shrinkToFit="1" readingOrder="2"/>
    </xf>
    <xf numFmtId="3" fontId="32" fillId="2" borderId="48" xfId="14" applyNumberFormat="1" applyFont="1" applyFill="1" applyBorder="1" applyAlignment="1" applyProtection="1">
      <alignment horizontal="right" vertical="center" readingOrder="2"/>
    </xf>
    <xf numFmtId="3" fontId="32" fillId="2" borderId="0" xfId="14" applyNumberFormat="1" applyFont="1" applyFill="1" applyBorder="1" applyAlignment="1" applyProtection="1">
      <alignment horizontal="right" vertical="center" readingOrder="2"/>
    </xf>
    <xf numFmtId="165" fontId="32" fillId="2" borderId="0" xfId="20" applyNumberFormat="1" applyFont="1" applyFill="1" applyBorder="1" applyAlignment="1" applyProtection="1">
      <alignment horizontal="right" vertical="center" shrinkToFit="1" readingOrder="2"/>
    </xf>
    <xf numFmtId="165" fontId="32" fillId="2" borderId="48" xfId="14" applyNumberFormat="1" applyFont="1" applyFill="1" applyBorder="1" applyAlignment="1" applyProtection="1">
      <alignment horizontal="right" vertical="center" shrinkToFit="1" readingOrder="2"/>
    </xf>
    <xf numFmtId="0" fontId="46" fillId="2" borderId="0" xfId="21" applyNumberFormat="1" applyFont="1" applyFill="1" applyBorder="1" applyAlignment="1" applyProtection="1">
      <alignment horizontal="right" vertical="center" readingOrder="2"/>
    </xf>
    <xf numFmtId="165" fontId="32" fillId="2" borderId="24" xfId="14" applyNumberFormat="1" applyFont="1" applyFill="1" applyBorder="1" applyAlignment="1" applyProtection="1">
      <alignment horizontal="right" vertical="center" shrinkToFit="1" readingOrder="2"/>
    </xf>
    <xf numFmtId="165" fontId="32" fillId="2" borderId="47" xfId="14" applyNumberFormat="1" applyFont="1" applyFill="1" applyBorder="1" applyAlignment="1" applyProtection="1">
      <alignment horizontal="right" vertical="center" shrinkToFit="1" readingOrder="2"/>
    </xf>
    <xf numFmtId="0" fontId="32" fillId="2" borderId="0" xfId="14" applyNumberFormat="1" applyFont="1" applyFill="1" applyBorder="1" applyAlignment="1" applyProtection="1">
      <alignment horizontal="right" vertical="center" wrapText="1" readingOrder="2"/>
    </xf>
    <xf numFmtId="3" fontId="32" fillId="2" borderId="0" xfId="20" applyNumberFormat="1" applyFont="1" applyFill="1" applyBorder="1" applyAlignment="1" applyProtection="1">
      <alignment horizontal="right" vertical="center" readingOrder="2"/>
    </xf>
    <xf numFmtId="165" fontId="32" fillId="2" borderId="14" xfId="20" applyNumberFormat="1" applyFont="1" applyFill="1" applyBorder="1" applyAlignment="1" applyProtection="1">
      <alignment horizontal="right" vertical="center" shrinkToFit="1" readingOrder="2"/>
    </xf>
    <xf numFmtId="3" fontId="32" fillId="2" borderId="0" xfId="20" applyNumberFormat="1" applyFont="1" applyFill="1" applyBorder="1" applyAlignment="1" applyProtection="1">
      <alignment horizontal="right" vertical="center" shrinkToFit="1" readingOrder="2"/>
    </xf>
    <xf numFmtId="165" fontId="32" fillId="2" borderId="24" xfId="20" applyNumberFormat="1" applyFont="1" applyFill="1" applyBorder="1" applyAlignment="1" applyProtection="1">
      <alignment horizontal="right" vertical="center" shrinkToFit="1" readingOrder="2"/>
    </xf>
    <xf numFmtId="0" fontId="32" fillId="2" borderId="29" xfId="14" applyFont="1" applyFill="1" applyBorder="1" applyAlignment="1" applyProtection="1">
      <alignment horizontal="right" vertical="center" readingOrder="2"/>
    </xf>
    <xf numFmtId="165" fontId="32" fillId="2" borderId="13" xfId="20" applyNumberFormat="1" applyFont="1" applyFill="1" applyBorder="1" applyAlignment="1" applyProtection="1">
      <alignment horizontal="right" vertical="center" shrinkToFit="1" readingOrder="2"/>
    </xf>
    <xf numFmtId="0" fontId="35" fillId="2" borderId="0" xfId="20" applyNumberFormat="1" applyFont="1" applyFill="1" applyBorder="1" applyAlignment="1" applyProtection="1">
      <alignment horizontal="right" vertical="center" wrapText="1" readingOrder="2"/>
    </xf>
    <xf numFmtId="165" fontId="32" fillId="2" borderId="15" xfId="20" applyNumberFormat="1" applyFont="1" applyFill="1" applyBorder="1" applyAlignment="1" applyProtection="1">
      <alignment horizontal="right" vertical="center" shrinkToFit="1" readingOrder="2"/>
    </xf>
    <xf numFmtId="49" fontId="32" fillId="2" borderId="45" xfId="20" applyNumberFormat="1" applyFont="1" applyFill="1" applyBorder="1" applyAlignment="1" applyProtection="1">
      <alignment horizontal="right" vertical="center" readingOrder="2"/>
    </xf>
    <xf numFmtId="0" fontId="32" fillId="2" borderId="24" xfId="14" applyFont="1" applyFill="1" applyBorder="1" applyAlignment="1" applyProtection="1">
      <alignment horizontal="right" vertical="center" shrinkToFit="1" readingOrder="2"/>
    </xf>
    <xf numFmtId="37" fontId="32" fillId="2" borderId="24" xfId="20" applyNumberFormat="1" applyFont="1" applyFill="1" applyBorder="1" applyAlignment="1" applyProtection="1">
      <alignment horizontal="right" vertical="center" readingOrder="2"/>
    </xf>
    <xf numFmtId="0" fontId="32" fillId="2" borderId="24" xfId="14" applyFont="1" applyFill="1" applyBorder="1" applyAlignment="1" applyProtection="1">
      <alignment horizontal="right" vertical="center" readingOrder="2"/>
    </xf>
    <xf numFmtId="37" fontId="32" fillId="2" borderId="24" xfId="20" applyNumberFormat="1" applyFont="1" applyFill="1" applyBorder="1" applyAlignment="1" applyProtection="1">
      <alignment horizontal="right" vertical="center" shrinkToFit="1" readingOrder="2"/>
    </xf>
    <xf numFmtId="49" fontId="32" fillId="2" borderId="0" xfId="20" applyNumberFormat="1" applyFont="1" applyFill="1" applyBorder="1" applyAlignment="1" applyProtection="1">
      <alignment horizontal="right" vertical="center" readingOrder="2"/>
    </xf>
    <xf numFmtId="0" fontId="32" fillId="2" borderId="0" xfId="14" applyFont="1" applyFill="1" applyBorder="1" applyAlignment="1" applyProtection="1">
      <alignment horizontal="right" vertical="center" readingOrder="2"/>
    </xf>
    <xf numFmtId="0" fontId="32" fillId="2" borderId="0" xfId="14" applyFont="1" applyFill="1" applyAlignment="1" applyProtection="1">
      <alignment horizontal="right" vertical="center" shrinkToFit="1" readingOrder="2"/>
    </xf>
    <xf numFmtId="0" fontId="35" fillId="2" borderId="0" xfId="20" applyFont="1" applyFill="1" applyBorder="1" applyAlignment="1" applyProtection="1">
      <alignment horizontal="right" vertical="center" shrinkToFit="1" readingOrder="2"/>
    </xf>
    <xf numFmtId="37" fontId="35" fillId="2" borderId="0" xfId="20" applyNumberFormat="1" applyFont="1" applyFill="1" applyBorder="1" applyAlignment="1" applyProtection="1">
      <alignment horizontal="right" vertical="center" shrinkToFit="1" readingOrder="2"/>
    </xf>
    <xf numFmtId="165" fontId="35" fillId="2" borderId="0" xfId="20" applyNumberFormat="1" applyFont="1" applyFill="1" applyBorder="1" applyAlignment="1" applyProtection="1">
      <alignment horizontal="right" vertical="center" shrinkToFit="1" readingOrder="2"/>
    </xf>
    <xf numFmtId="3" fontId="35" fillId="2" borderId="0" xfId="20" applyNumberFormat="1" applyFont="1" applyFill="1" applyBorder="1" applyAlignment="1" applyProtection="1">
      <alignment horizontal="right" vertical="center" readingOrder="2"/>
    </xf>
    <xf numFmtId="165" fontId="35" fillId="2" borderId="24" xfId="20" applyNumberFormat="1" applyFont="1" applyFill="1" applyBorder="1" applyAlignment="1" applyProtection="1">
      <alignment horizontal="right" vertical="center" shrinkToFit="1" readingOrder="2"/>
    </xf>
    <xf numFmtId="38" fontId="32" fillId="2" borderId="0" xfId="20" applyNumberFormat="1" applyFont="1" applyFill="1" applyBorder="1" applyAlignment="1" applyProtection="1">
      <alignment horizontal="right" vertical="center" readingOrder="2"/>
    </xf>
    <xf numFmtId="165" fontId="35" fillId="2" borderId="20" xfId="20" applyNumberFormat="1" applyFont="1" applyFill="1" applyBorder="1" applyAlignment="1" applyProtection="1">
      <alignment horizontal="right" vertical="center" shrinkToFit="1" readingOrder="2"/>
    </xf>
    <xf numFmtId="0" fontId="34" fillId="2" borderId="0" xfId="14" applyFont="1" applyFill="1" applyBorder="1" applyAlignment="1" applyProtection="1">
      <alignment horizontal="right" vertical="center" readingOrder="2"/>
    </xf>
    <xf numFmtId="0" fontId="34" fillId="4" borderId="0" xfId="21" applyFont="1" applyFill="1" applyAlignment="1" applyProtection="1">
      <alignment horizontal="right" vertical="center" readingOrder="2"/>
    </xf>
    <xf numFmtId="0" fontId="34" fillId="2" borderId="2" xfId="21" applyFont="1" applyFill="1" applyBorder="1" applyAlignment="1" applyProtection="1">
      <alignment horizontal="right" vertical="center" readingOrder="2"/>
    </xf>
    <xf numFmtId="0" fontId="34" fillId="2" borderId="0" xfId="21" applyFont="1" applyFill="1" applyAlignment="1" applyProtection="1">
      <alignment horizontal="right" vertical="center" readingOrder="2"/>
    </xf>
    <xf numFmtId="0" fontId="56" fillId="4" borderId="0" xfId="21" applyFont="1" applyFill="1" applyAlignment="1" applyProtection="1">
      <alignment horizontal="right" vertical="center" readingOrder="2"/>
    </xf>
    <xf numFmtId="0" fontId="22" fillId="3" borderId="0" xfId="11" applyFont="1" applyFill="1" applyBorder="1" applyAlignment="1" applyProtection="1">
      <alignment horizontal="right" vertical="center" readingOrder="2"/>
    </xf>
    <xf numFmtId="0" fontId="32" fillId="3" borderId="0" xfId="14" applyFont="1" applyFill="1" applyBorder="1" applyAlignment="1">
      <alignment horizontal="right" vertical="center" readingOrder="2"/>
    </xf>
    <xf numFmtId="0" fontId="4" fillId="3" borderId="0" xfId="14" applyFill="1" applyAlignment="1">
      <alignment horizontal="right" vertical="center" readingOrder="2"/>
    </xf>
    <xf numFmtId="0" fontId="4" fillId="3" borderId="0" xfId="14" applyFill="1" applyAlignment="1" applyProtection="1">
      <alignment horizontal="right" vertical="center" wrapText="1" readingOrder="2"/>
    </xf>
    <xf numFmtId="0" fontId="43" fillId="3" borderId="0" xfId="14" applyFont="1" applyFill="1" applyAlignment="1" applyProtection="1">
      <alignment horizontal="right" vertical="center" wrapText="1" readingOrder="2"/>
    </xf>
    <xf numFmtId="0" fontId="34" fillId="3" borderId="0" xfId="21" applyFont="1" applyFill="1" applyAlignment="1" applyProtection="1">
      <alignment horizontal="right" vertical="center" readingOrder="2"/>
    </xf>
    <xf numFmtId="49" fontId="28" fillId="5" borderId="8" xfId="21" applyNumberFormat="1" applyFont="1" applyFill="1" applyBorder="1" applyAlignment="1" applyProtection="1">
      <alignment horizontal="right" vertical="center" readingOrder="2"/>
    </xf>
    <xf numFmtId="0" fontId="37" fillId="5" borderId="0" xfId="21" applyFont="1" applyFill="1" applyBorder="1" applyAlignment="1" applyProtection="1">
      <alignment horizontal="right" vertical="center" readingOrder="2"/>
    </xf>
    <xf numFmtId="0" fontId="67" fillId="5" borderId="0" xfId="21" applyFont="1" applyFill="1" applyBorder="1" applyAlignment="1" applyProtection="1">
      <alignment horizontal="right" vertical="center" readingOrder="2"/>
    </xf>
    <xf numFmtId="0" fontId="67" fillId="5" borderId="0" xfId="14" applyFont="1" applyFill="1" applyBorder="1" applyAlignment="1" applyProtection="1">
      <alignment horizontal="right" vertical="center" readingOrder="2"/>
    </xf>
    <xf numFmtId="0" fontId="37" fillId="5" borderId="0" xfId="14" applyFont="1" applyFill="1" applyBorder="1" applyAlignment="1" applyProtection="1">
      <alignment horizontal="right" vertical="center" wrapText="1" readingOrder="2"/>
    </xf>
    <xf numFmtId="165" fontId="68" fillId="5" borderId="0" xfId="21" applyNumberFormat="1" applyFont="1" applyFill="1" applyBorder="1" applyAlignment="1" applyProtection="1">
      <alignment horizontal="right" vertical="center" readingOrder="2"/>
    </xf>
    <xf numFmtId="168" fontId="69" fillId="5" borderId="9" xfId="21" applyNumberFormat="1" applyFont="1" applyFill="1" applyBorder="1" applyAlignment="1" applyProtection="1">
      <alignment horizontal="right" vertical="center" readingOrder="2"/>
    </xf>
    <xf numFmtId="49" fontId="35" fillId="6" borderId="8" xfId="21" applyNumberFormat="1" applyFont="1" applyFill="1" applyBorder="1" applyAlignment="1" applyProtection="1">
      <alignment horizontal="right" vertical="center" readingOrder="2"/>
    </xf>
    <xf numFmtId="0" fontId="51" fillId="6" borderId="0" xfId="21" applyFont="1" applyFill="1" applyBorder="1" applyAlignment="1" applyProtection="1">
      <alignment horizontal="right" vertical="center" readingOrder="2"/>
    </xf>
    <xf numFmtId="0" fontId="70" fillId="6" borderId="0" xfId="21" applyFont="1" applyFill="1" applyBorder="1" applyAlignment="1" applyProtection="1">
      <alignment horizontal="right" vertical="center" readingOrder="2"/>
    </xf>
    <xf numFmtId="0" fontId="46" fillId="6" borderId="0" xfId="21" applyFont="1" applyFill="1" applyBorder="1" applyAlignment="1" applyProtection="1">
      <alignment horizontal="right" vertical="center" readingOrder="2"/>
    </xf>
    <xf numFmtId="0" fontId="34" fillId="6" borderId="0" xfId="21" applyFont="1" applyFill="1" applyBorder="1" applyAlignment="1" applyProtection="1">
      <alignment horizontal="right" vertical="center" readingOrder="2"/>
    </xf>
    <xf numFmtId="165" fontId="34" fillId="6" borderId="0" xfId="21" applyNumberFormat="1" applyFont="1" applyFill="1" applyBorder="1" applyAlignment="1" applyProtection="1">
      <alignment horizontal="right" vertical="center" readingOrder="2"/>
    </xf>
    <xf numFmtId="0" fontId="34" fillId="6" borderId="0" xfId="21" applyFont="1" applyFill="1" applyBorder="1" applyAlignment="1" applyProtection="1">
      <alignment horizontal="right" vertical="center" wrapText="1" readingOrder="2"/>
    </xf>
    <xf numFmtId="165" fontId="34" fillId="6" borderId="9" xfId="21" applyNumberFormat="1" applyFont="1" applyFill="1" applyBorder="1" applyAlignment="1" applyProtection="1">
      <alignment horizontal="right" vertical="center" readingOrder="2"/>
    </xf>
    <xf numFmtId="0" fontId="46" fillId="6" borderId="8" xfId="21" applyFont="1" applyFill="1" applyBorder="1" applyAlignment="1" applyProtection="1">
      <alignment horizontal="right" vertical="center" readingOrder="2"/>
    </xf>
    <xf numFmtId="0" fontId="48" fillId="6" borderId="0" xfId="21" applyFont="1" applyFill="1" applyBorder="1" applyAlignment="1" applyProtection="1">
      <alignment horizontal="right" vertical="center" readingOrder="2"/>
    </xf>
    <xf numFmtId="37" fontId="34" fillId="6" borderId="9" xfId="21" applyNumberFormat="1" applyFont="1" applyFill="1" applyBorder="1" applyAlignment="1" applyProtection="1">
      <alignment horizontal="right" vertical="center" readingOrder="2"/>
    </xf>
    <xf numFmtId="0" fontId="34" fillId="6" borderId="0" xfId="21" applyFont="1" applyFill="1" applyBorder="1" applyAlignment="1" applyProtection="1">
      <alignment horizontal="right" vertical="center" shrinkToFit="1" readingOrder="2"/>
    </xf>
    <xf numFmtId="165" fontId="34" fillId="8" borderId="11" xfId="21" applyNumberFormat="1" applyFont="1" applyFill="1" applyBorder="1" applyAlignment="1" applyProtection="1">
      <alignment horizontal="right" vertical="center" shrinkToFit="1" readingOrder="2"/>
      <protection locked="0"/>
    </xf>
    <xf numFmtId="165" fontId="34" fillId="7" borderId="23" xfId="14" applyNumberFormat="1" applyFont="1" applyFill="1" applyBorder="1" applyAlignment="1" applyProtection="1">
      <alignment horizontal="right" vertical="center" shrinkToFit="1" readingOrder="2"/>
    </xf>
    <xf numFmtId="3" fontId="34" fillId="6" borderId="0" xfId="21" applyNumberFormat="1" applyFont="1" applyFill="1" applyBorder="1" applyAlignment="1" applyProtection="1">
      <alignment horizontal="right" vertical="center" shrinkToFit="1" readingOrder="2"/>
    </xf>
    <xf numFmtId="0" fontId="34" fillId="6" borderId="9" xfId="21" applyFont="1" applyFill="1" applyBorder="1" applyAlignment="1" applyProtection="1">
      <alignment horizontal="right" vertical="center" readingOrder="2"/>
    </xf>
    <xf numFmtId="165" fontId="34" fillId="7" borderId="11" xfId="21" applyNumberFormat="1" applyFont="1" applyFill="1" applyBorder="1" applyAlignment="1" applyProtection="1">
      <alignment horizontal="right" vertical="center" shrinkToFit="1" readingOrder="2"/>
    </xf>
    <xf numFmtId="0" fontId="34" fillId="6" borderId="9" xfId="21" applyFont="1" applyFill="1" applyBorder="1" applyAlignment="1" applyProtection="1">
      <alignment horizontal="right" vertical="center" wrapText="1" readingOrder="2"/>
    </xf>
    <xf numFmtId="0" fontId="46" fillId="6" borderId="0" xfId="21" applyFont="1" applyFill="1" applyBorder="1" applyAlignment="1" applyProtection="1">
      <alignment horizontal="right" vertical="center" readingOrder="2"/>
      <protection locked="0"/>
    </xf>
    <xf numFmtId="165" fontId="34" fillId="8" borderId="12" xfId="21" applyNumberFormat="1" applyFont="1" applyFill="1" applyBorder="1" applyAlignment="1" applyProtection="1">
      <alignment horizontal="right" vertical="center" shrinkToFit="1" readingOrder="2"/>
      <protection locked="0"/>
    </xf>
    <xf numFmtId="165" fontId="34" fillId="9" borderId="14" xfId="21" applyNumberFormat="1" applyFont="1" applyFill="1" applyBorder="1" applyAlignment="1" applyProtection="1">
      <alignment horizontal="right" vertical="center" shrinkToFit="1" readingOrder="2"/>
    </xf>
    <xf numFmtId="165" fontId="34" fillId="6" borderId="0" xfId="21" applyNumberFormat="1" applyFont="1" applyFill="1" applyBorder="1" applyAlignment="1" applyProtection="1">
      <alignment horizontal="right" vertical="center" shrinkToFit="1" readingOrder="2"/>
    </xf>
    <xf numFmtId="165" fontId="34" fillId="8" borderId="49" xfId="14" applyNumberFormat="1" applyFont="1" applyFill="1" applyBorder="1" applyAlignment="1" applyProtection="1">
      <alignment horizontal="right" vertical="center" shrinkToFit="1" readingOrder="2"/>
      <protection locked="0"/>
    </xf>
    <xf numFmtId="165" fontId="34" fillId="8" borderId="50" xfId="21" applyNumberFormat="1" applyFont="1" applyFill="1" applyBorder="1" applyAlignment="1" applyProtection="1">
      <alignment horizontal="right" vertical="center" shrinkToFit="1" readingOrder="2"/>
      <protection locked="0"/>
    </xf>
    <xf numFmtId="165" fontId="34" fillId="7" borderId="50" xfId="21" applyNumberFormat="1" applyFont="1" applyFill="1" applyBorder="1" applyAlignment="1" applyProtection="1">
      <alignment horizontal="right" vertical="center" shrinkToFit="1" readingOrder="2"/>
    </xf>
    <xf numFmtId="0" fontId="46" fillId="6" borderId="0" xfId="21" applyFont="1" applyFill="1" applyBorder="1" applyAlignment="1" applyProtection="1">
      <alignment horizontal="right" vertical="center" wrapText="1" readingOrder="2"/>
    </xf>
    <xf numFmtId="165" fontId="34" fillId="8" borderId="51" xfId="21" applyNumberFormat="1" applyFont="1" applyFill="1" applyBorder="1" applyAlignment="1" applyProtection="1">
      <alignment horizontal="right" vertical="center" shrinkToFit="1" readingOrder="2"/>
      <protection locked="0"/>
    </xf>
    <xf numFmtId="165" fontId="34" fillId="6" borderId="24" xfId="21" applyNumberFormat="1" applyFont="1" applyFill="1" applyBorder="1" applyAlignment="1" applyProtection="1">
      <alignment horizontal="right" vertical="center" shrinkToFit="1" readingOrder="2"/>
    </xf>
    <xf numFmtId="165" fontId="34" fillId="7" borderId="20" xfId="21" applyNumberFormat="1" applyFont="1" applyFill="1" applyBorder="1" applyAlignment="1" applyProtection="1">
      <alignment horizontal="right" vertical="center" shrinkToFit="1" readingOrder="2"/>
    </xf>
    <xf numFmtId="0" fontId="34" fillId="6" borderId="8" xfId="21" applyFont="1" applyFill="1" applyBorder="1" applyAlignment="1" applyProtection="1">
      <alignment horizontal="right" vertical="center" readingOrder="2"/>
    </xf>
    <xf numFmtId="0" fontId="32" fillId="6" borderId="0" xfId="14" applyFont="1" applyFill="1" applyBorder="1" applyAlignment="1" applyProtection="1">
      <alignment horizontal="right" vertical="center" readingOrder="2"/>
    </xf>
    <xf numFmtId="168" fontId="32" fillId="6" borderId="0" xfId="21" applyNumberFormat="1" applyFont="1" applyFill="1" applyBorder="1" applyAlignment="1" applyProtection="1">
      <alignment horizontal="right" vertical="center" shrinkToFit="1" readingOrder="2"/>
    </xf>
    <xf numFmtId="0" fontId="32" fillId="6" borderId="0" xfId="14" applyNumberFormat="1" applyFont="1" applyFill="1" applyBorder="1" applyAlignment="1" applyProtection="1">
      <alignment horizontal="right" vertical="center" shrinkToFit="1" readingOrder="2"/>
    </xf>
    <xf numFmtId="37" fontId="32" fillId="6" borderId="9" xfId="21" applyNumberFormat="1" applyFont="1" applyFill="1" applyBorder="1" applyAlignment="1" applyProtection="1">
      <alignment horizontal="right" vertical="center" readingOrder="2"/>
    </xf>
    <xf numFmtId="165" fontId="34" fillId="8" borderId="10" xfId="21" applyNumberFormat="1" applyFont="1" applyFill="1" applyBorder="1" applyAlignment="1" applyProtection="1">
      <alignment horizontal="right" vertical="center" shrinkToFit="1" readingOrder="2"/>
      <protection locked="0"/>
    </xf>
    <xf numFmtId="37" fontId="34" fillId="6" borderId="9" xfId="14" applyNumberFormat="1" applyFont="1" applyFill="1" applyBorder="1" applyAlignment="1" applyProtection="1">
      <alignment horizontal="right" vertical="center" readingOrder="2"/>
    </xf>
    <xf numFmtId="165" fontId="34" fillId="7" borderId="15" xfId="21" applyNumberFormat="1" applyFont="1" applyFill="1" applyBorder="1" applyAlignment="1" applyProtection="1">
      <alignment horizontal="right" vertical="center" shrinkToFit="1" readingOrder="2"/>
    </xf>
    <xf numFmtId="0" fontId="71" fillId="6" borderId="8" xfId="21" applyFont="1" applyFill="1" applyBorder="1" applyAlignment="1" applyProtection="1">
      <alignment horizontal="right" vertical="center" readingOrder="2"/>
    </xf>
    <xf numFmtId="0" fontId="71" fillId="6" borderId="0" xfId="21" applyFont="1" applyFill="1" applyBorder="1" applyAlignment="1" applyProtection="1">
      <alignment horizontal="right" vertical="center" readingOrder="2"/>
    </xf>
    <xf numFmtId="0" fontId="71" fillId="6" borderId="0" xfId="21" applyFont="1" applyFill="1" applyBorder="1" applyAlignment="1" applyProtection="1">
      <alignment horizontal="right" vertical="center" shrinkToFit="1" readingOrder="2"/>
    </xf>
    <xf numFmtId="0" fontId="71" fillId="6" borderId="9" xfId="21" applyFont="1" applyFill="1" applyBorder="1" applyAlignment="1" applyProtection="1">
      <alignment horizontal="right" vertical="center" readingOrder="2"/>
    </xf>
    <xf numFmtId="49" fontId="72" fillId="6" borderId="8" xfId="21" applyNumberFormat="1" applyFont="1" applyFill="1" applyBorder="1" applyAlignment="1" applyProtection="1">
      <alignment horizontal="right" vertical="center" readingOrder="2"/>
    </xf>
    <xf numFmtId="0" fontId="71" fillId="6" borderId="0" xfId="14" applyFont="1" applyFill="1" applyBorder="1" applyAlignment="1" applyProtection="1">
      <alignment horizontal="right" vertical="center" readingOrder="2"/>
    </xf>
    <xf numFmtId="0" fontId="74" fillId="6" borderId="0" xfId="21" applyNumberFormat="1" applyFont="1" applyFill="1" applyBorder="1" applyAlignment="1" applyProtection="1">
      <alignment horizontal="right" vertical="center" shrinkToFit="1" readingOrder="2"/>
    </xf>
    <xf numFmtId="0" fontId="71" fillId="6" borderId="0" xfId="14" applyFont="1" applyFill="1" applyBorder="1" applyAlignment="1" applyProtection="1">
      <alignment horizontal="right" vertical="center" shrinkToFit="1" readingOrder="2"/>
    </xf>
    <xf numFmtId="37" fontId="71" fillId="6" borderId="9" xfId="21" applyNumberFormat="1" applyFont="1" applyFill="1" applyBorder="1" applyAlignment="1" applyProtection="1">
      <alignment horizontal="right" vertical="center" readingOrder="2"/>
    </xf>
    <xf numFmtId="165" fontId="34" fillId="7" borderId="10" xfId="21" applyNumberFormat="1" applyFont="1" applyFill="1" applyBorder="1" applyAlignment="1" applyProtection="1">
      <alignment horizontal="right" vertical="center" shrinkToFit="1" readingOrder="2"/>
    </xf>
    <xf numFmtId="165" fontId="34" fillId="6" borderId="0" xfId="21" applyNumberFormat="1" applyFont="1" applyFill="1" applyAlignment="1" applyProtection="1">
      <alignment horizontal="right" vertical="center" shrinkToFit="1" readingOrder="2"/>
    </xf>
    <xf numFmtId="165" fontId="34" fillId="7" borderId="12" xfId="21" applyNumberFormat="1" applyFont="1" applyFill="1" applyBorder="1" applyAlignment="1" applyProtection="1">
      <alignment horizontal="right" vertical="center" shrinkToFit="1" readingOrder="2"/>
    </xf>
    <xf numFmtId="0" fontId="34" fillId="6" borderId="0" xfId="21" applyFont="1" applyFill="1" applyAlignment="1" applyProtection="1">
      <alignment horizontal="right" vertical="center" shrinkToFit="1" readingOrder="2"/>
    </xf>
    <xf numFmtId="165" fontId="34" fillId="8" borderId="20" xfId="21" applyNumberFormat="1" applyFont="1" applyFill="1" applyBorder="1" applyAlignment="1" applyProtection="1">
      <alignment horizontal="right" vertical="center" shrinkToFit="1" readingOrder="2"/>
      <protection locked="0"/>
    </xf>
    <xf numFmtId="0" fontId="46" fillId="6" borderId="3" xfId="21" applyFont="1" applyFill="1" applyBorder="1" applyAlignment="1" applyProtection="1">
      <alignment horizontal="right" vertical="center" readingOrder="2"/>
    </xf>
    <xf numFmtId="0" fontId="34" fillId="6" borderId="3" xfId="21" applyFont="1" applyFill="1" applyBorder="1" applyAlignment="1" applyProtection="1">
      <alignment horizontal="right" vertical="center" readingOrder="2"/>
    </xf>
    <xf numFmtId="3" fontId="34" fillId="6" borderId="3" xfId="21" applyNumberFormat="1" applyFont="1" applyFill="1" applyBorder="1" applyAlignment="1" applyProtection="1">
      <alignment horizontal="right" vertical="center" readingOrder="2"/>
    </xf>
    <xf numFmtId="0" fontId="34" fillId="6" borderId="3" xfId="21" applyFont="1" applyFill="1" applyBorder="1" applyAlignment="1" applyProtection="1">
      <alignment horizontal="right" vertical="center" wrapText="1" readingOrder="2"/>
    </xf>
    <xf numFmtId="0" fontId="34" fillId="6" borderId="21" xfId="21" applyFont="1" applyFill="1" applyBorder="1" applyAlignment="1" applyProtection="1">
      <alignment horizontal="right" vertical="center" readingOrder="2"/>
    </xf>
    <xf numFmtId="0" fontId="68" fillId="3" borderId="0" xfId="21" applyFont="1" applyFill="1" applyAlignment="1" applyProtection="1">
      <alignment horizontal="right" vertical="center" readingOrder="2"/>
    </xf>
    <xf numFmtId="165" fontId="34" fillId="3" borderId="0" xfId="21" applyNumberFormat="1" applyFont="1" applyFill="1" applyAlignment="1" applyProtection="1">
      <alignment horizontal="right" vertical="center" readingOrder="2"/>
    </xf>
    <xf numFmtId="0" fontId="34" fillId="3" borderId="0" xfId="21" applyFont="1" applyFill="1" applyAlignment="1" applyProtection="1">
      <alignment horizontal="right" vertical="center" wrapText="1" readingOrder="2"/>
    </xf>
    <xf numFmtId="0" fontId="34" fillId="3" borderId="22" xfId="21" applyFont="1" applyFill="1" applyBorder="1" applyAlignment="1" applyProtection="1">
      <alignment horizontal="right" vertical="center" readingOrder="2"/>
    </xf>
    <xf numFmtId="0" fontId="34" fillId="2" borderId="25" xfId="21" applyFont="1" applyFill="1" applyBorder="1" applyAlignment="1" applyProtection="1">
      <alignment horizontal="right" vertical="center" readingOrder="2"/>
    </xf>
    <xf numFmtId="38" fontId="34" fillId="2" borderId="25" xfId="21" applyNumberFormat="1" applyFont="1" applyFill="1" applyBorder="1" applyAlignment="1" applyProtection="1">
      <alignment horizontal="right" vertical="center" readingOrder="2"/>
    </xf>
    <xf numFmtId="0" fontId="34" fillId="2" borderId="25" xfId="21" applyFont="1" applyFill="1" applyBorder="1" applyAlignment="1" applyProtection="1">
      <alignment horizontal="right" vertical="center" wrapText="1" readingOrder="2"/>
    </xf>
    <xf numFmtId="38" fontId="34" fillId="2" borderId="0" xfId="21" applyNumberFormat="1" applyFont="1" applyFill="1" applyAlignment="1" applyProtection="1">
      <alignment horizontal="right" vertical="center" readingOrder="2"/>
    </xf>
    <xf numFmtId="0" fontId="34" fillId="2" borderId="0" xfId="21" applyFont="1" applyFill="1" applyAlignment="1" applyProtection="1">
      <alignment horizontal="right" vertical="center" wrapText="1" readingOrder="2"/>
    </xf>
    <xf numFmtId="0" fontId="34" fillId="2" borderId="0" xfId="21" applyFont="1" applyFill="1" applyBorder="1" applyAlignment="1" applyProtection="1">
      <alignment horizontal="right" vertical="center" readingOrder="2"/>
    </xf>
    <xf numFmtId="38" fontId="34" fillId="2" borderId="0" xfId="21" applyNumberFormat="1" applyFont="1" applyFill="1" applyBorder="1" applyAlignment="1" applyProtection="1">
      <alignment horizontal="right" vertical="center" readingOrder="2"/>
    </xf>
    <xf numFmtId="0" fontId="34" fillId="2" borderId="0" xfId="21" applyFont="1" applyFill="1" applyBorder="1" applyAlignment="1" applyProtection="1">
      <alignment horizontal="right" vertical="center" wrapText="1" readingOrder="2"/>
    </xf>
    <xf numFmtId="0" fontId="34" fillId="2" borderId="0" xfId="21" applyNumberFormat="1" applyFont="1" applyFill="1" applyAlignment="1" applyProtection="1">
      <alignment horizontal="right" vertical="center" readingOrder="2"/>
    </xf>
    <xf numFmtId="0" fontId="34" fillId="2" borderId="0" xfId="21" applyNumberFormat="1" applyFont="1" applyFill="1" applyBorder="1" applyAlignment="1" applyProtection="1">
      <alignment horizontal="right" vertical="center" readingOrder="2"/>
    </xf>
    <xf numFmtId="0" fontId="28" fillId="2" borderId="0" xfId="21" applyNumberFormat="1" applyFont="1" applyFill="1" applyBorder="1" applyAlignment="1" applyProtection="1">
      <alignment horizontal="right" vertical="center" readingOrder="2"/>
    </xf>
    <xf numFmtId="49" fontId="32" fillId="2" borderId="0" xfId="14" applyNumberFormat="1" applyFont="1" applyFill="1" applyBorder="1" applyAlignment="1" applyProtection="1">
      <alignment horizontal="right" vertical="center" readingOrder="2"/>
    </xf>
    <xf numFmtId="49" fontId="35" fillId="2" borderId="0" xfId="14" applyNumberFormat="1" applyFont="1" applyFill="1" applyBorder="1" applyAlignment="1" applyProtection="1">
      <alignment horizontal="right" vertical="center" wrapText="1" readingOrder="2"/>
    </xf>
    <xf numFmtId="49" fontId="34" fillId="2" borderId="0" xfId="21" applyNumberFormat="1" applyFont="1" applyFill="1" applyBorder="1" applyAlignment="1" applyProtection="1">
      <alignment horizontal="right" vertical="center" readingOrder="2"/>
    </xf>
    <xf numFmtId="165" fontId="34" fillId="2" borderId="0" xfId="21" applyNumberFormat="1" applyFont="1" applyFill="1" applyBorder="1" applyAlignment="1" applyProtection="1">
      <alignment horizontal="right" vertical="center" readingOrder="2"/>
    </xf>
    <xf numFmtId="49" fontId="34" fillId="2" borderId="0" xfId="21" applyNumberFormat="1" applyFont="1" applyFill="1" applyBorder="1" applyAlignment="1" applyProtection="1">
      <alignment horizontal="right" vertical="center" wrapText="1" readingOrder="2"/>
    </xf>
    <xf numFmtId="0" fontId="48" fillId="2" borderId="0" xfId="21" applyNumberFormat="1" applyFont="1" applyFill="1" applyBorder="1" applyAlignment="1" applyProtection="1">
      <alignment horizontal="right" vertical="center" readingOrder="2"/>
    </xf>
    <xf numFmtId="49" fontId="34" fillId="2" borderId="0" xfId="14" applyNumberFormat="1" applyFont="1" applyFill="1" applyBorder="1" applyAlignment="1" applyProtection="1">
      <alignment horizontal="right" vertical="center" readingOrder="2"/>
    </xf>
    <xf numFmtId="49" fontId="34" fillId="2" borderId="0" xfId="14" applyNumberFormat="1" applyFont="1" applyFill="1" applyBorder="1" applyAlignment="1" applyProtection="1">
      <alignment horizontal="right" vertical="center" wrapText="1" readingOrder="2"/>
    </xf>
    <xf numFmtId="165" fontId="34" fillId="2" borderId="0" xfId="14" applyNumberFormat="1" applyFont="1" applyFill="1" applyBorder="1" applyAlignment="1" applyProtection="1">
      <alignment horizontal="right" vertical="center" shrinkToFit="1" readingOrder="2"/>
    </xf>
    <xf numFmtId="49" fontId="34" fillId="2" borderId="0" xfId="21" applyNumberFormat="1" applyFont="1" applyFill="1" applyBorder="1" applyAlignment="1" applyProtection="1">
      <alignment horizontal="right" vertical="center" shrinkToFit="1" readingOrder="2"/>
    </xf>
    <xf numFmtId="165" fontId="34" fillId="2" borderId="0" xfId="21" applyNumberFormat="1" applyFont="1" applyFill="1" applyBorder="1" applyAlignment="1" applyProtection="1">
      <alignment horizontal="right" vertical="center" shrinkToFit="1" readingOrder="2"/>
    </xf>
    <xf numFmtId="3" fontId="34" fillId="2" borderId="0" xfId="21" applyNumberFormat="1" applyFont="1" applyFill="1" applyBorder="1" applyAlignment="1" applyProtection="1">
      <alignment horizontal="right" vertical="center" shrinkToFit="1" readingOrder="2"/>
    </xf>
    <xf numFmtId="165" fontId="34" fillId="2" borderId="24" xfId="21" applyNumberFormat="1" applyFont="1" applyFill="1" applyBorder="1" applyAlignment="1" applyProtection="1">
      <alignment horizontal="right" vertical="center" shrinkToFit="1" readingOrder="2"/>
    </xf>
    <xf numFmtId="165" fontId="34" fillId="2" borderId="14" xfId="21" applyNumberFormat="1" applyFont="1" applyFill="1" applyBorder="1" applyAlignment="1" applyProtection="1">
      <alignment horizontal="right" vertical="center" shrinkToFit="1" readingOrder="2"/>
    </xf>
    <xf numFmtId="49" fontId="34" fillId="2" borderId="0" xfId="14" applyNumberFormat="1" applyFont="1" applyFill="1" applyBorder="1" applyAlignment="1" applyProtection="1">
      <alignment horizontal="right" vertical="center" shrinkToFit="1" readingOrder="2"/>
    </xf>
    <xf numFmtId="165" fontId="34" fillId="2" borderId="20" xfId="21" applyNumberFormat="1" applyFont="1" applyFill="1" applyBorder="1" applyAlignment="1" applyProtection="1">
      <alignment horizontal="right" vertical="center" shrinkToFit="1" readingOrder="2"/>
    </xf>
    <xf numFmtId="168" fontId="32" fillId="2" borderId="0" xfId="21" applyNumberFormat="1" applyFont="1" applyFill="1" applyBorder="1" applyAlignment="1" applyProtection="1">
      <alignment horizontal="right" vertical="center" shrinkToFit="1" readingOrder="2"/>
    </xf>
    <xf numFmtId="165" fontId="34" fillId="2" borderId="15" xfId="21" applyNumberFormat="1" applyFont="1" applyFill="1" applyBorder="1" applyAlignment="1" applyProtection="1">
      <alignment horizontal="right" vertical="center" shrinkToFit="1" readingOrder="2"/>
    </xf>
    <xf numFmtId="0" fontId="71" fillId="2" borderId="0" xfId="21" applyNumberFormat="1" applyFont="1" applyFill="1" applyBorder="1" applyAlignment="1" applyProtection="1">
      <alignment horizontal="right" vertical="center" readingOrder="2"/>
    </xf>
    <xf numFmtId="49" fontId="71" fillId="2" borderId="0" xfId="21" applyNumberFormat="1" applyFont="1" applyFill="1" applyBorder="1" applyAlignment="1" applyProtection="1">
      <alignment horizontal="right" vertical="center" readingOrder="2"/>
    </xf>
    <xf numFmtId="49" fontId="71" fillId="2" borderId="0" xfId="21" applyNumberFormat="1" applyFont="1" applyFill="1" applyBorder="1" applyAlignment="1" applyProtection="1">
      <alignment horizontal="right" vertical="center" shrinkToFit="1" readingOrder="2"/>
    </xf>
    <xf numFmtId="0" fontId="72" fillId="2" borderId="0" xfId="21" applyNumberFormat="1" applyFont="1" applyFill="1" applyBorder="1" applyAlignment="1" applyProtection="1">
      <alignment horizontal="right" vertical="center" readingOrder="2"/>
    </xf>
    <xf numFmtId="49" fontId="71" fillId="2" borderId="0" xfId="14" applyNumberFormat="1" applyFont="1" applyFill="1" applyBorder="1" applyAlignment="1" applyProtection="1">
      <alignment horizontal="right" vertical="center" readingOrder="2"/>
    </xf>
    <xf numFmtId="49" fontId="71" fillId="2" borderId="0" xfId="14" applyNumberFormat="1" applyFont="1" applyFill="1" applyBorder="1" applyAlignment="1" applyProtection="1">
      <alignment horizontal="right" vertical="center" shrinkToFit="1" readingOrder="2"/>
    </xf>
    <xf numFmtId="0" fontId="77" fillId="4" borderId="0" xfId="22" applyFont="1" applyFill="1" applyAlignment="1" applyProtection="1">
      <alignment horizontal="right" vertical="center" readingOrder="2"/>
    </xf>
    <xf numFmtId="0" fontId="58" fillId="4" borderId="0" xfId="22" applyFont="1" applyFill="1" applyAlignment="1" applyProtection="1">
      <alignment horizontal="right" vertical="center" readingOrder="2"/>
    </xf>
    <xf numFmtId="0" fontId="57" fillId="4" borderId="0" xfId="22" applyFont="1" applyFill="1" applyAlignment="1" applyProtection="1">
      <alignment horizontal="right" vertical="center" readingOrder="2"/>
    </xf>
    <xf numFmtId="3" fontId="57" fillId="4" borderId="0" xfId="22" applyNumberFormat="1" applyFont="1" applyFill="1" applyAlignment="1" applyProtection="1">
      <alignment horizontal="right" vertical="center" readingOrder="2"/>
    </xf>
    <xf numFmtId="3" fontId="34" fillId="2" borderId="2" xfId="22" applyNumberFormat="1" applyFont="1" applyFill="1" applyBorder="1" applyAlignment="1" applyProtection="1">
      <alignment horizontal="right" vertical="center" readingOrder="2"/>
    </xf>
    <xf numFmtId="3" fontId="34" fillId="2" borderId="0" xfId="22" applyNumberFormat="1" applyFont="1" applyFill="1" applyAlignment="1" applyProtection="1">
      <alignment horizontal="right" vertical="center" readingOrder="2"/>
    </xf>
    <xf numFmtId="0" fontId="34" fillId="2" borderId="0" xfId="22" applyFont="1" applyFill="1" applyAlignment="1" applyProtection="1">
      <alignment horizontal="right" vertical="center" readingOrder="2"/>
    </xf>
    <xf numFmtId="0" fontId="58" fillId="4" borderId="0" xfId="21" applyFont="1" applyFill="1" applyAlignment="1" applyProtection="1">
      <alignment horizontal="right" vertical="center" readingOrder="2"/>
    </xf>
    <xf numFmtId="0" fontId="56" fillId="2" borderId="2" xfId="21" applyFont="1" applyFill="1" applyBorder="1" applyAlignment="1" applyProtection="1">
      <alignment horizontal="right" vertical="center" readingOrder="2"/>
    </xf>
    <xf numFmtId="166" fontId="22" fillId="3" borderId="0" xfId="11" applyNumberFormat="1" applyFont="1" applyFill="1" applyAlignment="1" applyProtection="1">
      <alignment horizontal="right" vertical="top" readingOrder="2"/>
    </xf>
    <xf numFmtId="0" fontId="22" fillId="3" borderId="0" xfId="11" applyFont="1" applyFill="1" applyAlignment="1" applyProtection="1">
      <alignment horizontal="right" vertical="center" wrapText="1" readingOrder="2"/>
    </xf>
    <xf numFmtId="3" fontId="34" fillId="3" borderId="0" xfId="22" applyNumberFormat="1" applyFont="1" applyFill="1" applyAlignment="1" applyProtection="1">
      <alignment horizontal="right" vertical="center" readingOrder="2"/>
    </xf>
    <xf numFmtId="49" fontId="40" fillId="3" borderId="0" xfId="22" applyNumberFormat="1" applyFont="1" applyFill="1" applyAlignment="1" applyProtection="1">
      <alignment horizontal="right" vertical="center" readingOrder="2"/>
    </xf>
    <xf numFmtId="0" fontId="37" fillId="5" borderId="8" xfId="22" applyFont="1" applyFill="1" applyBorder="1" applyAlignment="1" applyProtection="1">
      <alignment horizontal="right" vertical="center" readingOrder="2"/>
    </xf>
    <xf numFmtId="0" fontId="37" fillId="5" borderId="0" xfId="22" applyFont="1" applyFill="1" applyBorder="1" applyAlignment="1" applyProtection="1">
      <alignment horizontal="right" vertical="center" readingOrder="2"/>
    </xf>
    <xf numFmtId="0" fontId="67" fillId="5" borderId="0" xfId="22" applyFont="1" applyFill="1" applyBorder="1" applyAlignment="1" applyProtection="1">
      <alignment horizontal="right" vertical="center" wrapText="1" readingOrder="2"/>
    </xf>
    <xf numFmtId="3" fontId="68" fillId="5" borderId="9" xfId="22" applyNumberFormat="1" applyFont="1" applyFill="1" applyBorder="1" applyAlignment="1" applyProtection="1">
      <alignment horizontal="right" vertical="center" readingOrder="2"/>
    </xf>
    <xf numFmtId="166" fontId="34" fillId="3" borderId="0" xfId="22" applyNumberFormat="1" applyFont="1" applyFill="1" applyAlignment="1" applyProtection="1">
      <alignment horizontal="right" vertical="center" readingOrder="2"/>
    </xf>
    <xf numFmtId="0" fontId="73" fillId="6" borderId="8" xfId="22" applyFont="1" applyFill="1" applyBorder="1" applyAlignment="1" applyProtection="1">
      <alignment horizontal="right" vertical="center" readingOrder="2"/>
    </xf>
    <xf numFmtId="0" fontId="34" fillId="6" borderId="0" xfId="22" applyFont="1" applyFill="1" applyBorder="1" applyAlignment="1" applyProtection="1">
      <alignment horizontal="right" vertical="center" readingOrder="2"/>
    </xf>
    <xf numFmtId="3" fontId="34" fillId="6" borderId="9" xfId="22" applyNumberFormat="1" applyFont="1" applyFill="1" applyBorder="1" applyAlignment="1" applyProtection="1">
      <alignment horizontal="right" vertical="center" readingOrder="2"/>
    </xf>
    <xf numFmtId="0" fontId="78" fillId="6" borderId="8" xfId="22" applyFont="1" applyFill="1" applyBorder="1" applyAlignment="1" applyProtection="1">
      <alignment horizontal="right" vertical="center" readingOrder="2"/>
    </xf>
    <xf numFmtId="0" fontId="34" fillId="6" borderId="0" xfId="22" applyFont="1" applyFill="1" applyBorder="1" applyAlignment="1" applyProtection="1">
      <alignment horizontal="right" vertical="center" shrinkToFit="1" readingOrder="2"/>
    </xf>
    <xf numFmtId="0" fontId="78" fillId="6" borderId="8" xfId="22" applyFont="1" applyFill="1" applyBorder="1" applyAlignment="1" applyProtection="1">
      <alignment horizontal="right" vertical="center" readingOrder="2"/>
      <protection locked="0"/>
    </xf>
    <xf numFmtId="165" fontId="34" fillId="9" borderId="14" xfId="22" applyNumberFormat="1" applyFont="1" applyFill="1" applyBorder="1" applyAlignment="1" applyProtection="1">
      <alignment horizontal="right" vertical="center" shrinkToFit="1" readingOrder="2"/>
    </xf>
    <xf numFmtId="165" fontId="34" fillId="6" borderId="52" xfId="22" applyNumberFormat="1" applyFont="1" applyFill="1" applyBorder="1" applyAlignment="1" applyProtection="1">
      <alignment horizontal="right" vertical="center" shrinkToFit="1" readingOrder="2"/>
    </xf>
    <xf numFmtId="165" fontId="34" fillId="6" borderId="0" xfId="22" applyNumberFormat="1" applyFont="1" applyFill="1" applyBorder="1" applyAlignment="1" applyProtection="1">
      <alignment horizontal="right" vertical="center" shrinkToFit="1" readingOrder="2"/>
    </xf>
    <xf numFmtId="0" fontId="51" fillId="6" borderId="8" xfId="22" applyFont="1" applyFill="1" applyBorder="1" applyAlignment="1" applyProtection="1">
      <alignment horizontal="right" vertical="center" readingOrder="2"/>
    </xf>
    <xf numFmtId="0" fontId="32" fillId="6" borderId="0" xfId="22" applyFont="1" applyFill="1" applyBorder="1" applyAlignment="1" applyProtection="1">
      <alignment horizontal="right" vertical="center" readingOrder="2"/>
    </xf>
    <xf numFmtId="0" fontId="32" fillId="6" borderId="0" xfId="22" applyFont="1" applyFill="1" applyBorder="1" applyAlignment="1" applyProtection="1">
      <alignment horizontal="right" vertical="center" shrinkToFit="1" readingOrder="2"/>
    </xf>
    <xf numFmtId="3" fontId="32" fillId="6" borderId="9" xfId="22" applyNumberFormat="1" applyFont="1" applyFill="1" applyBorder="1" applyAlignment="1" applyProtection="1">
      <alignment horizontal="right" vertical="center" readingOrder="2"/>
    </xf>
    <xf numFmtId="0" fontId="34" fillId="6" borderId="8" xfId="22" applyFont="1" applyFill="1" applyBorder="1" applyAlignment="1" applyProtection="1">
      <alignment horizontal="right" vertical="center" readingOrder="2"/>
    </xf>
    <xf numFmtId="0" fontId="34" fillId="6" borderId="8" xfId="22" applyFont="1" applyFill="1" applyBorder="1" applyAlignment="1" applyProtection="1">
      <alignment horizontal="right" vertical="center" readingOrder="2"/>
      <protection locked="0"/>
    </xf>
    <xf numFmtId="0" fontId="34" fillId="6" borderId="8" xfId="22" applyFont="1" applyFill="1" applyBorder="1" applyAlignment="1" applyProtection="1">
      <alignment horizontal="right" vertical="center" wrapText="1" readingOrder="2"/>
    </xf>
    <xf numFmtId="165" fontId="34" fillId="7" borderId="15" xfId="22" applyNumberFormat="1" applyFont="1" applyFill="1" applyBorder="1" applyAlignment="1" applyProtection="1">
      <alignment horizontal="right" vertical="center" shrinkToFit="1" readingOrder="2"/>
    </xf>
    <xf numFmtId="166" fontId="32" fillId="6" borderId="8" xfId="22" applyNumberFormat="1" applyFont="1" applyFill="1" applyBorder="1" applyAlignment="1" applyProtection="1">
      <alignment horizontal="right" vertical="center" readingOrder="2"/>
    </xf>
    <xf numFmtId="166" fontId="32" fillId="6" borderId="0" xfId="22" applyNumberFormat="1" applyFont="1" applyFill="1" applyBorder="1" applyAlignment="1" applyProtection="1">
      <alignment horizontal="right" vertical="center" readingOrder="2"/>
    </xf>
    <xf numFmtId="166" fontId="32" fillId="6" borderId="0" xfId="22" applyNumberFormat="1" applyFont="1" applyFill="1" applyBorder="1" applyAlignment="1" applyProtection="1">
      <alignment horizontal="right" vertical="center" shrinkToFit="1" readingOrder="2"/>
    </xf>
    <xf numFmtId="166" fontId="32" fillId="6" borderId="9" xfId="22" applyNumberFormat="1" applyFont="1" applyFill="1" applyBorder="1" applyAlignment="1" applyProtection="1">
      <alignment horizontal="right" vertical="center" readingOrder="2"/>
    </xf>
    <xf numFmtId="0" fontId="34" fillId="6" borderId="0" xfId="22" applyFont="1" applyFill="1" applyBorder="1" applyAlignment="1" applyProtection="1">
      <alignment horizontal="right" vertical="center" wrapText="1" readingOrder="2"/>
    </xf>
    <xf numFmtId="0" fontId="34" fillId="6" borderId="0" xfId="22" applyFont="1" applyFill="1" applyAlignment="1" applyProtection="1">
      <alignment horizontal="right" vertical="center" shrinkToFit="1" readingOrder="2"/>
    </xf>
    <xf numFmtId="0" fontId="34" fillId="6" borderId="0" xfId="22" applyFont="1" applyFill="1" applyAlignment="1" applyProtection="1">
      <alignment horizontal="right" vertical="center" readingOrder="2"/>
    </xf>
    <xf numFmtId="0" fontId="34" fillId="3" borderId="0" xfId="22" applyFont="1" applyFill="1" applyAlignment="1" applyProtection="1">
      <alignment horizontal="right" vertical="center" readingOrder="2"/>
    </xf>
    <xf numFmtId="165" fontId="34" fillId="7" borderId="14" xfId="22" applyNumberFormat="1" applyFont="1" applyFill="1" applyBorder="1" applyAlignment="1" applyProtection="1">
      <alignment horizontal="right" vertical="center" shrinkToFit="1" readingOrder="2"/>
    </xf>
    <xf numFmtId="165" fontId="34" fillId="6" borderId="0" xfId="22" applyNumberFormat="1" applyFont="1" applyFill="1" applyAlignment="1" applyProtection="1">
      <alignment horizontal="right" vertical="center" shrinkToFit="1" readingOrder="2"/>
    </xf>
    <xf numFmtId="0" fontId="34" fillId="7" borderId="0" xfId="22" applyFont="1" applyFill="1" applyAlignment="1" applyProtection="1">
      <alignment horizontal="right" vertical="center" readingOrder="2"/>
    </xf>
    <xf numFmtId="165" fontId="34" fillId="7" borderId="13" xfId="22" applyNumberFormat="1" applyFont="1" applyFill="1" applyBorder="1" applyAlignment="1" applyProtection="1">
      <alignment horizontal="right" vertical="center" shrinkToFit="1" readingOrder="2"/>
    </xf>
    <xf numFmtId="0" fontId="40" fillId="6" borderId="0" xfId="22" applyFont="1" applyFill="1" applyAlignment="1" applyProtection="1">
      <alignment horizontal="right" vertical="center" readingOrder="2"/>
    </xf>
    <xf numFmtId="165" fontId="40" fillId="6" borderId="0" xfId="22" applyNumberFormat="1" applyFont="1" applyFill="1" applyBorder="1" applyAlignment="1" applyProtection="1">
      <alignment horizontal="right" vertical="center" shrinkToFit="1" readingOrder="2"/>
    </xf>
    <xf numFmtId="0" fontId="34" fillId="0" borderId="0" xfId="22" applyFont="1" applyAlignment="1" applyProtection="1">
      <alignment horizontal="right" vertical="center" readingOrder="2"/>
    </xf>
    <xf numFmtId="0" fontId="34" fillId="6" borderId="0" xfId="22" applyFont="1" applyFill="1" applyAlignment="1" applyProtection="1">
      <alignment horizontal="right" vertical="center" wrapText="1" readingOrder="2"/>
    </xf>
    <xf numFmtId="3" fontId="34" fillId="0" borderId="9" xfId="22" applyNumberFormat="1" applyFont="1" applyBorder="1" applyAlignment="1" applyProtection="1">
      <alignment horizontal="right" vertical="center" readingOrder="2"/>
    </xf>
    <xf numFmtId="0" fontId="34" fillId="6" borderId="8" xfId="22" applyFont="1" applyFill="1" applyBorder="1" applyAlignment="1" applyProtection="1">
      <alignment horizontal="right" vertical="center" readingOrder="2"/>
      <protection hidden="1"/>
    </xf>
    <xf numFmtId="0" fontId="34" fillId="0" borderId="0" xfId="14" applyFont="1" applyAlignment="1" applyProtection="1">
      <alignment horizontal="right" vertical="center" readingOrder="2"/>
    </xf>
    <xf numFmtId="0" fontId="34" fillId="6" borderId="0" xfId="14" applyFont="1" applyFill="1" applyAlignment="1" applyProtection="1">
      <alignment horizontal="right" vertical="center" wrapText="1" readingOrder="2"/>
    </xf>
    <xf numFmtId="0" fontId="34" fillId="0" borderId="9" xfId="14" applyFont="1" applyBorder="1" applyAlignment="1" applyProtection="1">
      <alignment horizontal="right" vertical="center" readingOrder="2"/>
    </xf>
    <xf numFmtId="0" fontId="34" fillId="0" borderId="0" xfId="22" applyFont="1" applyBorder="1" applyAlignment="1" applyProtection="1">
      <alignment horizontal="right" vertical="center" readingOrder="2"/>
    </xf>
    <xf numFmtId="37" fontId="34" fillId="0" borderId="0" xfId="22" applyNumberFormat="1" applyFont="1" applyBorder="1" applyAlignment="1" applyProtection="1">
      <alignment horizontal="right" vertical="center" readingOrder="2"/>
    </xf>
    <xf numFmtId="1" fontId="34" fillId="6" borderId="0" xfId="22" applyNumberFormat="1" applyFont="1" applyFill="1" applyBorder="1" applyAlignment="1" applyProtection="1">
      <alignment horizontal="right" vertical="center" wrapText="1" readingOrder="2"/>
    </xf>
    <xf numFmtId="1" fontId="34" fillId="6" borderId="0" xfId="22" applyNumberFormat="1" applyFont="1" applyFill="1" applyAlignment="1" applyProtection="1">
      <alignment horizontal="right" vertical="center" wrapText="1" readingOrder="2"/>
    </xf>
    <xf numFmtId="37" fontId="34" fillId="0" borderId="0" xfId="22" applyNumberFormat="1" applyFont="1" applyAlignment="1" applyProtection="1">
      <alignment horizontal="right" vertical="center" readingOrder="2"/>
    </xf>
    <xf numFmtId="37" fontId="34" fillId="6" borderId="0" xfId="22" applyNumberFormat="1" applyFont="1" applyFill="1" applyAlignment="1" applyProtection="1">
      <alignment horizontal="right" vertical="center" wrapText="1" readingOrder="2"/>
    </xf>
    <xf numFmtId="0" fontId="34" fillId="6" borderId="37" xfId="22" applyFont="1" applyFill="1" applyBorder="1" applyAlignment="1" applyProtection="1">
      <alignment horizontal="right" vertical="center" readingOrder="2"/>
    </xf>
    <xf numFmtId="0" fontId="34" fillId="6" borderId="3" xfId="22" applyFont="1" applyFill="1" applyBorder="1" applyAlignment="1" applyProtection="1">
      <alignment horizontal="right" vertical="center" readingOrder="2"/>
    </xf>
    <xf numFmtId="0" fontId="34" fillId="6" borderId="3" xfId="22" applyFont="1" applyFill="1" applyBorder="1" applyAlignment="1" applyProtection="1">
      <alignment horizontal="right" vertical="center" wrapText="1" readingOrder="2"/>
    </xf>
    <xf numFmtId="3" fontId="34" fillId="6" borderId="21" xfId="22" applyNumberFormat="1" applyFont="1" applyFill="1" applyBorder="1" applyAlignment="1" applyProtection="1">
      <alignment horizontal="right" vertical="center" readingOrder="2"/>
    </xf>
    <xf numFmtId="0" fontId="34" fillId="3" borderId="0" xfId="22" applyFont="1" applyFill="1" applyAlignment="1" applyProtection="1">
      <alignment horizontal="right" vertical="center" wrapText="1" readingOrder="2"/>
    </xf>
    <xf numFmtId="0" fontId="34" fillId="2" borderId="25" xfId="22" applyFont="1" applyFill="1" applyBorder="1" applyAlignment="1" applyProtection="1">
      <alignment horizontal="right" vertical="center" readingOrder="2"/>
    </xf>
    <xf numFmtId="0" fontId="34" fillId="2" borderId="25" xfId="22" applyFont="1" applyFill="1" applyBorder="1" applyAlignment="1" applyProtection="1">
      <alignment horizontal="right" vertical="center" wrapText="1" readingOrder="2"/>
    </xf>
    <xf numFmtId="3" fontId="34" fillId="2" borderId="25" xfId="22" applyNumberFormat="1" applyFont="1" applyFill="1" applyBorder="1" applyAlignment="1" applyProtection="1">
      <alignment horizontal="right" vertical="center" readingOrder="2"/>
    </xf>
    <xf numFmtId="0" fontId="34" fillId="2" borderId="0" xfId="22" applyFont="1" applyFill="1" applyAlignment="1" applyProtection="1">
      <alignment horizontal="right" vertical="center" wrapText="1" readingOrder="2"/>
    </xf>
    <xf numFmtId="0" fontId="35" fillId="2" borderId="0" xfId="22" applyFont="1" applyFill="1" applyBorder="1" applyAlignment="1" applyProtection="1">
      <alignment horizontal="right" vertical="center" readingOrder="2"/>
    </xf>
    <xf numFmtId="0" fontId="51" fillId="2" borderId="0" xfId="22" applyFont="1" applyFill="1" applyBorder="1" applyAlignment="1" applyProtection="1">
      <alignment horizontal="right" vertical="center" readingOrder="2"/>
    </xf>
    <xf numFmtId="0" fontId="32" fillId="2" borderId="0" xfId="22" applyFont="1" applyFill="1" applyBorder="1" applyAlignment="1" applyProtection="1">
      <alignment horizontal="right" vertical="center" wrapText="1" readingOrder="2"/>
    </xf>
    <xf numFmtId="3" fontId="32" fillId="2" borderId="0" xfId="22" applyNumberFormat="1" applyFont="1" applyFill="1" applyBorder="1" applyAlignment="1" applyProtection="1">
      <alignment horizontal="right" vertical="center" readingOrder="2"/>
    </xf>
    <xf numFmtId="0" fontId="51" fillId="2" borderId="0" xfId="22" applyNumberFormat="1" applyFont="1" applyFill="1" applyBorder="1" applyAlignment="1" applyProtection="1">
      <alignment horizontal="right" vertical="center" readingOrder="2"/>
    </xf>
    <xf numFmtId="0" fontId="32" fillId="2" borderId="0" xfId="22" applyFont="1" applyFill="1" applyBorder="1" applyAlignment="1" applyProtection="1">
      <alignment horizontal="right" vertical="center" readingOrder="2"/>
    </xf>
    <xf numFmtId="0" fontId="32" fillId="2" borderId="0" xfId="22" applyNumberFormat="1" applyFont="1" applyFill="1" applyBorder="1" applyAlignment="1" applyProtection="1">
      <alignment horizontal="right" vertical="center" readingOrder="2"/>
    </xf>
    <xf numFmtId="165" fontId="32" fillId="2" borderId="0" xfId="22" applyNumberFormat="1" applyFont="1" applyFill="1" applyBorder="1" applyAlignment="1" applyProtection="1">
      <alignment horizontal="right" vertical="center" shrinkToFit="1" readingOrder="2"/>
    </xf>
    <xf numFmtId="0" fontId="32" fillId="2" borderId="0" xfId="22" applyFont="1" applyFill="1" applyBorder="1" applyAlignment="1" applyProtection="1">
      <alignment horizontal="right" vertical="center" shrinkToFit="1" readingOrder="2"/>
    </xf>
    <xf numFmtId="165" fontId="32" fillId="2" borderId="14" xfId="22" applyNumberFormat="1" applyFont="1" applyFill="1" applyBorder="1" applyAlignment="1" applyProtection="1">
      <alignment horizontal="right" vertical="center" shrinkToFit="1" readingOrder="2"/>
    </xf>
    <xf numFmtId="165" fontId="32" fillId="2" borderId="52" xfId="22" applyNumberFormat="1" applyFont="1" applyFill="1" applyBorder="1" applyAlignment="1" applyProtection="1">
      <alignment horizontal="right" vertical="center" shrinkToFit="1" readingOrder="2"/>
    </xf>
    <xf numFmtId="0" fontId="32" fillId="2" borderId="0" xfId="22" applyNumberFormat="1" applyFont="1" applyFill="1" applyBorder="1" applyAlignment="1" applyProtection="1">
      <alignment horizontal="right" vertical="center" wrapText="1" readingOrder="2"/>
    </xf>
    <xf numFmtId="165" fontId="32" fillId="2" borderId="15" xfId="22" applyNumberFormat="1" applyFont="1" applyFill="1" applyBorder="1" applyAlignment="1" applyProtection="1">
      <alignment horizontal="right" vertical="center" shrinkToFit="1" readingOrder="2"/>
    </xf>
    <xf numFmtId="166" fontId="32" fillId="2" borderId="0" xfId="22" applyNumberFormat="1" applyFont="1" applyFill="1" applyBorder="1" applyAlignment="1" applyProtection="1">
      <alignment horizontal="right" vertical="center" readingOrder="2"/>
    </xf>
    <xf numFmtId="166" fontId="32" fillId="2" borderId="0" xfId="22" applyNumberFormat="1" applyFont="1" applyFill="1" applyBorder="1" applyAlignment="1" applyProtection="1">
      <alignment horizontal="right" vertical="center" shrinkToFit="1" readingOrder="2"/>
    </xf>
    <xf numFmtId="165" fontId="32" fillId="2" borderId="13" xfId="22" applyNumberFormat="1" applyFont="1" applyFill="1" applyBorder="1" applyAlignment="1" applyProtection="1">
      <alignment horizontal="right" vertical="center" shrinkToFit="1" readingOrder="2"/>
    </xf>
    <xf numFmtId="165" fontId="35" fillId="2" borderId="0" xfId="22" applyNumberFormat="1" applyFont="1" applyFill="1" applyBorder="1" applyAlignment="1" applyProtection="1">
      <alignment horizontal="right" vertical="center" shrinkToFit="1" readingOrder="2"/>
    </xf>
    <xf numFmtId="0" fontId="34" fillId="2" borderId="0" xfId="22" applyNumberFormat="1" applyFont="1" applyFill="1" applyAlignment="1" applyProtection="1">
      <alignment horizontal="right" vertical="center" readingOrder="2"/>
    </xf>
    <xf numFmtId="0" fontId="79" fillId="4" borderId="0" xfId="14" applyFont="1" applyFill="1" applyAlignment="1" applyProtection="1">
      <alignment horizontal="right" vertical="center" readingOrder="2"/>
    </xf>
    <xf numFmtId="165" fontId="57" fillId="4" borderId="0" xfId="14" applyNumberFormat="1" applyFont="1" applyFill="1" applyAlignment="1" applyProtection="1">
      <alignment horizontal="right" vertical="center" readingOrder="2"/>
    </xf>
    <xf numFmtId="0" fontId="4" fillId="4" borderId="4" xfId="14" applyFill="1" applyBorder="1" applyAlignment="1" applyProtection="1">
      <alignment horizontal="right" vertical="center" readingOrder="2"/>
    </xf>
    <xf numFmtId="165" fontId="79" fillId="2" borderId="2" xfId="14" applyNumberFormat="1" applyFont="1" applyFill="1" applyBorder="1" applyAlignment="1" applyProtection="1">
      <alignment horizontal="right" vertical="center" readingOrder="2"/>
    </xf>
    <xf numFmtId="165" fontId="79" fillId="2" borderId="0" xfId="14" applyNumberFormat="1" applyFont="1" applyFill="1" applyAlignment="1" applyProtection="1">
      <alignment horizontal="right" vertical="center" readingOrder="2"/>
    </xf>
    <xf numFmtId="0" fontId="79" fillId="2" borderId="0" xfId="14" applyFont="1" applyFill="1" applyAlignment="1" applyProtection="1">
      <alignment horizontal="right" vertical="center" readingOrder="2"/>
    </xf>
    <xf numFmtId="0" fontId="4" fillId="4" borderId="0" xfId="14" applyFill="1" applyAlignment="1" applyProtection="1">
      <alignment horizontal="right" vertical="center" readingOrder="2"/>
    </xf>
    <xf numFmtId="0" fontId="4" fillId="4" borderId="0" xfId="14" applyFill="1" applyAlignment="1" applyProtection="1">
      <alignment horizontal="right" vertical="center" wrapText="1" readingOrder="2"/>
    </xf>
    <xf numFmtId="0" fontId="4" fillId="2" borderId="2" xfId="14" applyFill="1" applyBorder="1" applyAlignment="1" applyProtection="1">
      <alignment horizontal="right" vertical="center" readingOrder="2"/>
    </xf>
    <xf numFmtId="0" fontId="4" fillId="2" borderId="0" xfId="14" applyFill="1" applyAlignment="1" applyProtection="1">
      <alignment horizontal="right" vertical="center" readingOrder="2"/>
    </xf>
    <xf numFmtId="0" fontId="4" fillId="3" borderId="0" xfId="14" applyFill="1" applyAlignment="1" applyProtection="1">
      <alignment horizontal="right" vertical="center" readingOrder="2"/>
    </xf>
    <xf numFmtId="165" fontId="55" fillId="3" borderId="0" xfId="14" applyNumberFormat="1" applyFont="1" applyFill="1" applyBorder="1" applyAlignment="1" applyProtection="1">
      <alignment horizontal="center" vertical="center" readingOrder="2"/>
    </xf>
    <xf numFmtId="0" fontId="4" fillId="3" borderId="0" xfId="14" applyFill="1" applyAlignment="1" applyProtection="1">
      <alignment horizontal="center" vertical="center" readingOrder="2"/>
    </xf>
    <xf numFmtId="0" fontId="4" fillId="3" borderId="0" xfId="14" applyFill="1" applyBorder="1" applyAlignment="1" applyProtection="1">
      <alignment horizontal="right" vertical="center" readingOrder="2"/>
    </xf>
    <xf numFmtId="0" fontId="40" fillId="5" borderId="8" xfId="14" applyFont="1" applyFill="1" applyBorder="1" applyAlignment="1" applyProtection="1">
      <alignment horizontal="right" vertical="center" wrapText="1" readingOrder="2"/>
    </xf>
    <xf numFmtId="0" fontId="68" fillId="5" borderId="0" xfId="14" applyFont="1" applyFill="1" applyBorder="1" applyAlignment="1" applyProtection="1">
      <alignment horizontal="right" vertical="center" wrapText="1" readingOrder="2"/>
    </xf>
    <xf numFmtId="0" fontId="68" fillId="5" borderId="0" xfId="14" applyFont="1" applyFill="1" applyBorder="1" applyAlignment="1" applyProtection="1">
      <alignment horizontal="right" vertical="center" readingOrder="2"/>
    </xf>
    <xf numFmtId="165" fontId="68" fillId="5" borderId="0" xfId="14" applyNumberFormat="1" applyFont="1" applyFill="1" applyBorder="1" applyAlignment="1" applyProtection="1">
      <alignment horizontal="right" vertical="center" readingOrder="2"/>
    </xf>
    <xf numFmtId="0" fontId="68" fillId="5" borderId="9" xfId="14" applyFont="1" applyFill="1" applyBorder="1" applyAlignment="1" applyProtection="1">
      <alignment horizontal="right" vertical="center" readingOrder="2"/>
    </xf>
    <xf numFmtId="0" fontId="40" fillId="6" borderId="8" xfId="14" applyFont="1" applyFill="1" applyBorder="1" applyAlignment="1" applyProtection="1">
      <alignment horizontal="right" vertical="center" wrapText="1" readingOrder="2"/>
    </xf>
    <xf numFmtId="0" fontId="68" fillId="6" borderId="0" xfId="14" applyFont="1" applyFill="1" applyBorder="1" applyAlignment="1" applyProtection="1">
      <alignment horizontal="right" vertical="center" wrapText="1" readingOrder="2"/>
    </xf>
    <xf numFmtId="0" fontId="28" fillId="6" borderId="0" xfId="14" applyFont="1" applyFill="1" applyBorder="1" applyAlignment="1" applyProtection="1">
      <alignment horizontal="right" vertical="center" wrapText="1" readingOrder="2"/>
    </xf>
    <xf numFmtId="0" fontId="4" fillId="6" borderId="0" xfId="14" applyFill="1" applyBorder="1" applyAlignment="1" applyProtection="1">
      <alignment horizontal="right" vertical="center" readingOrder="2"/>
    </xf>
    <xf numFmtId="0" fontId="68" fillId="6" borderId="0" xfId="14" applyFont="1" applyFill="1" applyBorder="1" applyAlignment="1" applyProtection="1">
      <alignment horizontal="right" vertical="center" readingOrder="2"/>
    </xf>
    <xf numFmtId="165" fontId="68" fillId="6" borderId="0" xfId="14" applyNumberFormat="1" applyFont="1" applyFill="1" applyBorder="1" applyAlignment="1" applyProtection="1">
      <alignment horizontal="right" vertical="center" readingOrder="2"/>
    </xf>
    <xf numFmtId="0" fontId="68" fillId="6" borderId="9" xfId="14" applyFont="1" applyFill="1" applyBorder="1" applyAlignment="1" applyProtection="1">
      <alignment horizontal="right" vertical="center" readingOrder="2"/>
    </xf>
    <xf numFmtId="0" fontId="56" fillId="6" borderId="8" xfId="14" applyFont="1" applyFill="1" applyBorder="1" applyAlignment="1" applyProtection="1">
      <alignment horizontal="right" vertical="center" wrapText="1" readingOrder="2"/>
    </xf>
    <xf numFmtId="0" fontId="40" fillId="8" borderId="0" xfId="14" applyFont="1" applyFill="1" applyBorder="1" applyAlignment="1" applyProtection="1">
      <alignment horizontal="right" vertical="center" readingOrder="2"/>
      <protection locked="0"/>
    </xf>
    <xf numFmtId="165" fontId="4" fillId="6" borderId="0" xfId="14" applyNumberFormat="1" applyFill="1" applyBorder="1" applyAlignment="1" applyProtection="1">
      <alignment horizontal="right" vertical="center" readingOrder="2"/>
    </xf>
    <xf numFmtId="0" fontId="4" fillId="6" borderId="9" xfId="14" applyFill="1" applyBorder="1" applyAlignment="1" applyProtection="1">
      <alignment horizontal="right" vertical="center" readingOrder="2"/>
    </xf>
    <xf numFmtId="0" fontId="34" fillId="6" borderId="8" xfId="14" applyFont="1" applyFill="1" applyBorder="1" applyAlignment="1" applyProtection="1">
      <alignment horizontal="right" vertical="center" wrapText="1" readingOrder="2"/>
    </xf>
    <xf numFmtId="0" fontId="40" fillId="6" borderId="0" xfId="14" applyNumberFormat="1" applyFont="1" applyFill="1" applyBorder="1" applyAlignment="1" applyProtection="1">
      <alignment horizontal="right" vertical="center" shrinkToFit="1" readingOrder="2"/>
    </xf>
    <xf numFmtId="0" fontId="40" fillId="6" borderId="0" xfId="14" applyFont="1" applyFill="1" applyBorder="1" applyAlignment="1" applyProtection="1">
      <alignment horizontal="right" vertical="center" readingOrder="2"/>
    </xf>
    <xf numFmtId="165" fontId="4" fillId="7" borderId="0" xfId="14" applyNumberFormat="1" applyFill="1" applyBorder="1" applyAlignment="1" applyProtection="1">
      <alignment horizontal="right" vertical="center" shrinkToFit="1" readingOrder="2"/>
    </xf>
    <xf numFmtId="0" fontId="34" fillId="6" borderId="8" xfId="14" applyFont="1" applyFill="1" applyBorder="1" applyAlignment="1" applyProtection="1">
      <alignment horizontal="right" vertical="center" wrapText="1" readingOrder="2"/>
      <protection locked="0"/>
    </xf>
    <xf numFmtId="165" fontId="4" fillId="8" borderId="11" xfId="14" applyNumberFormat="1" applyFill="1" applyBorder="1" applyAlignment="1" applyProtection="1">
      <alignment horizontal="right" vertical="center" shrinkToFit="1" readingOrder="2"/>
      <protection locked="0"/>
    </xf>
    <xf numFmtId="165" fontId="4" fillId="8" borderId="12" xfId="14" applyNumberFormat="1" applyFill="1" applyBorder="1" applyAlignment="1" applyProtection="1">
      <alignment horizontal="right" vertical="center" shrinkToFit="1" readingOrder="2"/>
      <protection locked="0"/>
    </xf>
    <xf numFmtId="165" fontId="4" fillId="9" borderId="15" xfId="14" applyNumberFormat="1" applyFill="1" applyBorder="1" applyAlignment="1" applyProtection="1">
      <alignment horizontal="right" vertical="center" shrinkToFit="1" readingOrder="2"/>
    </xf>
    <xf numFmtId="165" fontId="4" fillId="6" borderId="0" xfId="14" applyNumberFormat="1" applyFill="1" applyBorder="1" applyAlignment="1" applyProtection="1">
      <alignment horizontal="right" vertical="center" shrinkToFit="1" readingOrder="2"/>
    </xf>
    <xf numFmtId="165" fontId="4" fillId="7" borderId="11" xfId="14" applyNumberFormat="1" applyFill="1" applyBorder="1" applyAlignment="1" applyProtection="1">
      <alignment horizontal="right" vertical="center" shrinkToFit="1" readingOrder="2"/>
    </xf>
    <xf numFmtId="0" fontId="4" fillId="6" borderId="0" xfId="14" applyNumberFormat="1" applyFill="1" applyBorder="1" applyAlignment="1" applyProtection="1">
      <alignment horizontal="right" vertical="center" readingOrder="2"/>
    </xf>
    <xf numFmtId="165" fontId="4" fillId="8" borderId="23" xfId="14" applyNumberFormat="1" applyFill="1" applyBorder="1" applyAlignment="1" applyProtection="1">
      <alignment horizontal="right" vertical="center" shrinkToFit="1" readingOrder="2"/>
      <protection locked="0"/>
    </xf>
    <xf numFmtId="0" fontId="56" fillId="6" borderId="8" xfId="14" applyFont="1" applyFill="1" applyBorder="1" applyAlignment="1" applyProtection="1">
      <alignment horizontal="right" vertical="center" readingOrder="2"/>
    </xf>
    <xf numFmtId="165" fontId="4" fillId="6" borderId="9" xfId="14" applyNumberFormat="1" applyFill="1" applyBorder="1" applyAlignment="1" applyProtection="1">
      <alignment horizontal="right" vertical="center" readingOrder="2"/>
    </xf>
    <xf numFmtId="0" fontId="4" fillId="6" borderId="37" xfId="14" applyFill="1" applyBorder="1" applyAlignment="1" applyProtection="1">
      <alignment horizontal="right" vertical="center" wrapText="1" readingOrder="2"/>
    </xf>
    <xf numFmtId="0" fontId="4" fillId="6" borderId="3" xfId="14" applyFill="1" applyBorder="1" applyAlignment="1" applyProtection="1">
      <alignment horizontal="right" vertical="center" wrapText="1" readingOrder="2"/>
    </xf>
    <xf numFmtId="0" fontId="4" fillId="6" borderId="3" xfId="14" applyFill="1" applyBorder="1" applyAlignment="1" applyProtection="1">
      <alignment horizontal="right" vertical="center" readingOrder="2"/>
    </xf>
    <xf numFmtId="165" fontId="4" fillId="6" borderId="3" xfId="14" applyNumberFormat="1" applyFill="1" applyBorder="1" applyAlignment="1" applyProtection="1">
      <alignment horizontal="right" vertical="center" readingOrder="2"/>
    </xf>
    <xf numFmtId="0" fontId="4" fillId="6" borderId="21" xfId="14" applyFill="1" applyBorder="1" applyAlignment="1" applyProtection="1">
      <alignment horizontal="right" vertical="center" readingOrder="2"/>
    </xf>
    <xf numFmtId="165" fontId="4" fillId="3" borderId="0" xfId="14" applyNumberFormat="1" applyFill="1" applyAlignment="1" applyProtection="1">
      <alignment horizontal="right" vertical="center" readingOrder="2"/>
    </xf>
    <xf numFmtId="0" fontId="4" fillId="2" borderId="25" xfId="14" applyFill="1" applyBorder="1" applyAlignment="1" applyProtection="1">
      <alignment horizontal="right" vertical="center" readingOrder="2"/>
    </xf>
    <xf numFmtId="0" fontId="4" fillId="2" borderId="25" xfId="14" applyFill="1" applyBorder="1" applyAlignment="1" applyProtection="1">
      <alignment horizontal="right" vertical="center" wrapText="1" readingOrder="2"/>
    </xf>
    <xf numFmtId="165" fontId="4" fillId="2" borderId="25" xfId="14" applyNumberFormat="1" applyFill="1" applyBorder="1" applyAlignment="1" applyProtection="1">
      <alignment horizontal="right" vertical="center" readingOrder="2"/>
    </xf>
    <xf numFmtId="0" fontId="4" fillId="2" borderId="0" xfId="14" applyFill="1" applyBorder="1" applyAlignment="1" applyProtection="1">
      <alignment horizontal="right" vertical="center" wrapText="1" readingOrder="2"/>
    </xf>
    <xf numFmtId="0" fontId="4" fillId="2" borderId="0" xfId="14" applyFill="1" applyAlignment="1" applyProtection="1">
      <alignment horizontal="right" vertical="center" wrapText="1" readingOrder="2"/>
    </xf>
    <xf numFmtId="165" fontId="4" fillId="2" borderId="0" xfId="14" applyNumberFormat="1" applyFill="1" applyAlignment="1" applyProtection="1">
      <alignment horizontal="right" vertical="center" readingOrder="2"/>
    </xf>
    <xf numFmtId="0" fontId="38" fillId="2" borderId="0" xfId="14" applyFont="1" applyFill="1" applyAlignment="1" applyProtection="1">
      <alignment horizontal="right" vertical="center" wrapText="1" readingOrder="2"/>
    </xf>
    <xf numFmtId="0" fontId="40" fillId="2" borderId="0" xfId="14" applyFont="1" applyFill="1" applyBorder="1" applyAlignment="1" applyProtection="1">
      <alignment horizontal="right" vertical="center" wrapText="1" readingOrder="2"/>
    </xf>
    <xf numFmtId="0" fontId="68" fillId="2" borderId="0" xfId="14" applyFont="1" applyFill="1" applyBorder="1" applyAlignment="1" applyProtection="1">
      <alignment horizontal="right" vertical="center" wrapText="1" readingOrder="2"/>
    </xf>
    <xf numFmtId="0" fontId="28" fillId="2" borderId="0" xfId="14" applyFont="1" applyFill="1" applyBorder="1" applyAlignment="1" applyProtection="1">
      <alignment horizontal="right" vertical="center" wrapText="1" readingOrder="2"/>
    </xf>
    <xf numFmtId="0" fontId="4" fillId="2" borderId="0" xfId="14" applyFill="1" applyBorder="1" applyAlignment="1" applyProtection="1">
      <alignment horizontal="right" vertical="center" readingOrder="2"/>
    </xf>
    <xf numFmtId="0" fontId="68" fillId="2" borderId="0" xfId="14" applyFont="1" applyFill="1" applyBorder="1" applyAlignment="1" applyProtection="1">
      <alignment horizontal="right" vertical="center" readingOrder="2"/>
    </xf>
    <xf numFmtId="165" fontId="68" fillId="2" borderId="0" xfId="14" applyNumberFormat="1" applyFont="1" applyFill="1" applyBorder="1" applyAlignment="1" applyProtection="1">
      <alignment horizontal="right" vertical="center" readingOrder="2"/>
    </xf>
    <xf numFmtId="0" fontId="56" fillId="2" borderId="0" xfId="14" applyFont="1" applyFill="1" applyBorder="1" applyAlignment="1" applyProtection="1">
      <alignment horizontal="right" vertical="center" wrapText="1" readingOrder="2"/>
    </xf>
    <xf numFmtId="0" fontId="40" fillId="2" borderId="0" xfId="14" applyFont="1" applyFill="1" applyBorder="1" applyAlignment="1" applyProtection="1">
      <alignment horizontal="right" vertical="center" readingOrder="2"/>
    </xf>
    <xf numFmtId="165" fontId="4" fillId="2" borderId="0" xfId="14" applyNumberFormat="1" applyFill="1" applyBorder="1" applyAlignment="1" applyProtection="1">
      <alignment horizontal="right" vertical="center" readingOrder="2"/>
    </xf>
    <xf numFmtId="0" fontId="34" fillId="2" borderId="0" xfId="14" applyFont="1" applyFill="1" applyBorder="1" applyAlignment="1" applyProtection="1">
      <alignment horizontal="right" vertical="center" wrapText="1" readingOrder="2"/>
    </xf>
    <xf numFmtId="165" fontId="51" fillId="2" borderId="0" xfId="14" applyNumberFormat="1" applyFont="1" applyFill="1" applyBorder="1" applyAlignment="1" applyProtection="1">
      <alignment horizontal="right" vertical="center" shrinkToFit="1" readingOrder="2"/>
    </xf>
    <xf numFmtId="165" fontId="51" fillId="2" borderId="0" xfId="14" applyNumberFormat="1" applyFont="1" applyFill="1" applyBorder="1" applyAlignment="1" applyProtection="1">
      <alignment horizontal="right" vertical="center" readingOrder="2"/>
    </xf>
    <xf numFmtId="165" fontId="4" fillId="2" borderId="0" xfId="14" applyNumberFormat="1" applyFill="1" applyBorder="1" applyAlignment="1" applyProtection="1">
      <alignment horizontal="right" vertical="center" shrinkToFit="1" readingOrder="2"/>
    </xf>
    <xf numFmtId="0" fontId="4" fillId="2" borderId="0" xfId="14" applyFill="1" applyBorder="1" applyAlignment="1" applyProtection="1">
      <alignment horizontal="right" vertical="center" shrinkToFit="1" readingOrder="2"/>
    </xf>
    <xf numFmtId="165" fontId="4" fillId="2" borderId="24" xfId="14" applyNumberFormat="1" applyFill="1" applyBorder="1" applyAlignment="1" applyProtection="1">
      <alignment horizontal="right" vertical="center" shrinkToFit="1" readingOrder="2"/>
    </xf>
    <xf numFmtId="165" fontId="4" fillId="2" borderId="15" xfId="14" applyNumberFormat="1" applyFill="1" applyBorder="1" applyAlignment="1" applyProtection="1">
      <alignment horizontal="right" vertical="center" shrinkToFit="1" readingOrder="2"/>
    </xf>
    <xf numFmtId="0" fontId="80" fillId="4" borderId="0" xfId="14" applyFont="1" applyFill="1" applyAlignment="1" applyProtection="1">
      <alignment horizontal="right" vertical="center" readingOrder="2"/>
    </xf>
    <xf numFmtId="0" fontId="81" fillId="4" borderId="0" xfId="14" applyFont="1" applyFill="1" applyAlignment="1" applyProtection="1">
      <alignment horizontal="right" vertical="center" readingOrder="2"/>
    </xf>
    <xf numFmtId="0" fontId="55" fillId="4" borderId="0" xfId="14" applyFont="1" applyFill="1" applyBorder="1" applyAlignment="1" applyProtection="1">
      <alignment horizontal="center" vertical="center" readingOrder="2"/>
    </xf>
    <xf numFmtId="0" fontId="32" fillId="2" borderId="2" xfId="14" applyFont="1" applyFill="1" applyBorder="1" applyAlignment="1" applyProtection="1">
      <alignment horizontal="right" vertical="center" readingOrder="2"/>
    </xf>
    <xf numFmtId="0" fontId="22" fillId="3" borderId="0" xfId="11" applyFont="1" applyFill="1" applyAlignment="1" applyProtection="1">
      <alignment horizontal="right" vertical="center" readingOrder="2"/>
    </xf>
    <xf numFmtId="0" fontId="22" fillId="3" borderId="0" xfId="11" applyFont="1" applyFill="1" applyBorder="1" applyAlignment="1" applyProtection="1">
      <alignment horizontal="right" vertical="center" wrapText="1" readingOrder="2"/>
    </xf>
    <xf numFmtId="0" fontId="4" fillId="3" borderId="0" xfId="14" applyFill="1" applyAlignment="1">
      <alignment vertical="center" readingOrder="2"/>
    </xf>
    <xf numFmtId="0" fontId="55" fillId="3" borderId="0" xfId="14" applyFont="1" applyFill="1" applyBorder="1" applyAlignment="1" applyProtection="1">
      <alignment horizontal="center" vertical="center" readingOrder="2"/>
    </xf>
    <xf numFmtId="0" fontId="81" fillId="3" borderId="0" xfId="14" applyFont="1" applyFill="1" applyAlignment="1" applyProtection="1">
      <alignment horizontal="right" vertical="center" readingOrder="2"/>
    </xf>
    <xf numFmtId="0" fontId="43" fillId="3" borderId="0" xfId="14" applyFont="1" applyFill="1" applyAlignment="1" applyProtection="1">
      <alignment horizontal="right" vertical="center" readingOrder="2"/>
    </xf>
    <xf numFmtId="0" fontId="51" fillId="3" borderId="0" xfId="14" applyFont="1" applyFill="1" applyAlignment="1" applyProtection="1">
      <alignment horizontal="right" vertical="center" readingOrder="2"/>
    </xf>
    <xf numFmtId="0" fontId="32" fillId="3" borderId="0" xfId="14" applyFont="1" applyFill="1" applyAlignment="1" applyProtection="1">
      <alignment horizontal="right" vertical="center" readingOrder="2"/>
    </xf>
    <xf numFmtId="0" fontId="32" fillId="3" borderId="0" xfId="14" applyFont="1" applyFill="1" applyAlignment="1" applyProtection="1">
      <alignment horizontal="right" vertical="center" readingOrder="2"/>
      <protection locked="0"/>
    </xf>
    <xf numFmtId="0" fontId="82" fillId="3" borderId="0" xfId="14" applyFont="1" applyFill="1" applyAlignment="1" applyProtection="1">
      <alignment horizontal="right" vertical="center" wrapText="1" readingOrder="2"/>
    </xf>
    <xf numFmtId="0" fontId="37" fillId="5" borderId="5" xfId="14" applyFont="1" applyFill="1" applyBorder="1" applyAlignment="1" applyProtection="1">
      <alignment horizontal="right" vertical="center" readingOrder="2"/>
    </xf>
    <xf numFmtId="0" fontId="37" fillId="5" borderId="6" xfId="14" applyFont="1" applyFill="1" applyBorder="1" applyAlignment="1" applyProtection="1">
      <alignment horizontal="right" vertical="center" readingOrder="2"/>
    </xf>
    <xf numFmtId="0" fontId="37" fillId="5" borderId="7" xfId="14" applyFont="1" applyFill="1" applyBorder="1" applyAlignment="1" applyProtection="1">
      <alignment horizontal="right" vertical="center" readingOrder="2"/>
    </xf>
    <xf numFmtId="0" fontId="22" fillId="2" borderId="2" xfId="14" applyFont="1" applyFill="1" applyBorder="1" applyAlignment="1" applyProtection="1">
      <alignment horizontal="right" vertical="center" readingOrder="2"/>
    </xf>
    <xf numFmtId="0" fontId="22" fillId="2" borderId="0" xfId="14" applyFont="1" applyFill="1" applyAlignment="1" applyProtection="1">
      <alignment horizontal="right" vertical="center" readingOrder="2"/>
    </xf>
    <xf numFmtId="0" fontId="32" fillId="3" borderId="0" xfId="14" applyFont="1" applyFill="1" applyBorder="1" applyAlignment="1" applyProtection="1">
      <alignment horizontal="right" vertical="center" readingOrder="2"/>
    </xf>
    <xf numFmtId="0" fontId="32" fillId="3" borderId="53" xfId="14" applyFont="1" applyFill="1" applyBorder="1" applyAlignment="1" applyProtection="1">
      <alignment horizontal="right" vertical="center" readingOrder="2"/>
    </xf>
    <xf numFmtId="0" fontId="32" fillId="3" borderId="9" xfId="14" applyFont="1" applyFill="1" applyBorder="1" applyAlignment="1" applyProtection="1">
      <alignment horizontal="right" vertical="center" readingOrder="2"/>
    </xf>
    <xf numFmtId="0" fontId="32" fillId="3" borderId="0" xfId="14" applyFont="1" applyFill="1" applyBorder="1" applyAlignment="1" applyProtection="1">
      <alignment horizontal="right" vertical="center" readingOrder="2"/>
      <protection locked="0"/>
    </xf>
    <xf numFmtId="0" fontId="32" fillId="3" borderId="8" xfId="14" applyFont="1" applyFill="1" applyBorder="1" applyAlignment="1" applyProtection="1">
      <alignment horizontal="right" vertical="center" readingOrder="2"/>
    </xf>
    <xf numFmtId="49" fontId="32" fillId="2" borderId="2" xfId="14" applyNumberFormat="1" applyFont="1" applyFill="1" applyBorder="1" applyAlignment="1" applyProtection="1">
      <alignment horizontal="right" vertical="center" readingOrder="2"/>
    </xf>
    <xf numFmtId="49" fontId="32" fillId="2" borderId="0" xfId="14" applyNumberFormat="1" applyFont="1" applyFill="1" applyAlignment="1" applyProtection="1">
      <alignment horizontal="right" vertical="center" readingOrder="2"/>
    </xf>
    <xf numFmtId="10" fontId="32" fillId="2" borderId="2" xfId="14" applyNumberFormat="1" applyFont="1" applyFill="1" applyBorder="1" applyAlignment="1" applyProtection="1">
      <alignment horizontal="right" vertical="center" readingOrder="2"/>
    </xf>
    <xf numFmtId="186" fontId="32" fillId="3" borderId="8" xfId="14" applyNumberFormat="1" applyFont="1" applyFill="1" applyBorder="1" applyAlignment="1" applyProtection="1">
      <alignment horizontal="right" vertical="center" readingOrder="1"/>
    </xf>
    <xf numFmtId="186" fontId="32" fillId="3" borderId="0" xfId="14" applyNumberFormat="1" applyFont="1" applyFill="1" applyBorder="1" applyAlignment="1" applyProtection="1">
      <alignment horizontal="right" vertical="center" readingOrder="1"/>
    </xf>
    <xf numFmtId="186" fontId="32" fillId="3" borderId="9" xfId="14" applyNumberFormat="1" applyFont="1" applyFill="1" applyBorder="1" applyAlignment="1" applyProtection="1">
      <alignment horizontal="right" vertical="center" readingOrder="1"/>
    </xf>
    <xf numFmtId="10" fontId="32" fillId="3" borderId="0" xfId="14" applyNumberFormat="1" applyFont="1" applyFill="1" applyBorder="1" applyAlignment="1" applyProtection="1">
      <alignment horizontal="right" vertical="center" readingOrder="2"/>
    </xf>
    <xf numFmtId="186" fontId="32" fillId="3" borderId="37" xfId="14" applyNumberFormat="1" applyFont="1" applyFill="1" applyBorder="1" applyAlignment="1" applyProtection="1">
      <alignment horizontal="right" vertical="center" readingOrder="1"/>
    </xf>
    <xf numFmtId="186" fontId="32" fillId="3" borderId="3" xfId="14" applyNumberFormat="1" applyFont="1" applyFill="1" applyBorder="1" applyAlignment="1" applyProtection="1">
      <alignment horizontal="right" vertical="center" readingOrder="1"/>
    </xf>
    <xf numFmtId="186" fontId="32" fillId="3" borderId="21" xfId="14" applyNumberFormat="1" applyFont="1" applyFill="1" applyBorder="1" applyAlignment="1" applyProtection="1">
      <alignment horizontal="right" vertical="center" readingOrder="1"/>
    </xf>
    <xf numFmtId="10" fontId="32" fillId="3" borderId="38" xfId="14" applyNumberFormat="1" applyFont="1" applyFill="1" applyBorder="1" applyAlignment="1" applyProtection="1">
      <alignment horizontal="right" vertical="center" readingOrder="2"/>
    </xf>
    <xf numFmtId="10" fontId="32" fillId="3" borderId="0" xfId="14" applyNumberFormat="1" applyFont="1" applyFill="1" applyAlignment="1" applyProtection="1">
      <alignment horizontal="right" vertical="center" readingOrder="2"/>
    </xf>
    <xf numFmtId="0" fontId="35" fillId="3" borderId="0" xfId="14" applyFont="1" applyFill="1" applyAlignment="1" applyProtection="1">
      <alignment horizontal="right" vertical="center" readingOrder="2"/>
    </xf>
    <xf numFmtId="0" fontId="32" fillId="2" borderId="25" xfId="14" applyFont="1" applyFill="1" applyBorder="1" applyAlignment="1" applyProtection="1">
      <alignment horizontal="right" vertical="center" readingOrder="2"/>
    </xf>
    <xf numFmtId="0" fontId="81" fillId="4" borderId="0" xfId="14" applyFont="1" applyFill="1" applyBorder="1" applyAlignment="1">
      <alignment horizontal="right" vertical="center" readingOrder="2"/>
    </xf>
    <xf numFmtId="0" fontId="84" fillId="4" borderId="0" xfId="14" applyFont="1" applyFill="1" applyBorder="1" applyAlignment="1">
      <alignment horizontal="right" vertical="center" readingOrder="2"/>
    </xf>
    <xf numFmtId="0" fontId="32" fillId="2" borderId="0" xfId="14" applyFont="1" applyFill="1" applyAlignment="1">
      <alignment horizontal="right" vertical="center" readingOrder="2"/>
    </xf>
    <xf numFmtId="0" fontId="38" fillId="3" borderId="0" xfId="14" applyFont="1" applyFill="1" applyBorder="1" applyAlignment="1">
      <alignment horizontal="center" vertical="center" readingOrder="2"/>
    </xf>
    <xf numFmtId="0" fontId="38" fillId="3" borderId="4" xfId="14" applyFont="1" applyFill="1" applyBorder="1" applyAlignment="1">
      <alignment horizontal="center" vertical="center" readingOrder="2"/>
    </xf>
    <xf numFmtId="0" fontId="32" fillId="2" borderId="2" xfId="14" applyFont="1" applyFill="1" applyBorder="1" applyAlignment="1">
      <alignment horizontal="right" vertical="center" readingOrder="2"/>
    </xf>
    <xf numFmtId="0" fontId="38" fillId="3" borderId="0" xfId="14" applyNumberFormat="1" applyFont="1" applyFill="1" applyBorder="1" applyAlignment="1">
      <alignment horizontal="center" vertical="center" readingOrder="2"/>
    </xf>
    <xf numFmtId="0" fontId="35" fillId="3" borderId="0" xfId="14" applyFont="1" applyFill="1" applyBorder="1" applyAlignment="1">
      <alignment horizontal="right" vertical="center" readingOrder="2"/>
    </xf>
    <xf numFmtId="49" fontId="32" fillId="3" borderId="0" xfId="14" applyNumberFormat="1" applyFont="1" applyFill="1" applyBorder="1" applyAlignment="1" applyProtection="1">
      <alignment horizontal="right" vertical="center" readingOrder="2"/>
      <protection locked="0"/>
    </xf>
    <xf numFmtId="1" fontId="32" fillId="3" borderId="0" xfId="14" applyNumberFormat="1" applyFont="1" applyFill="1" applyBorder="1" applyAlignment="1" applyProtection="1">
      <alignment horizontal="right" vertical="center" readingOrder="2"/>
      <protection locked="0"/>
    </xf>
    <xf numFmtId="0" fontId="32" fillId="3" borderId="22" xfId="14" applyFont="1" applyFill="1" applyBorder="1" applyAlignment="1">
      <alignment horizontal="right" vertical="center" readingOrder="2"/>
    </xf>
    <xf numFmtId="0" fontId="81" fillId="4" borderId="0" xfId="14" applyFont="1" applyFill="1" applyAlignment="1">
      <alignment horizontal="right" vertical="center" readingOrder="2"/>
    </xf>
    <xf numFmtId="0" fontId="55" fillId="4" borderId="0" xfId="14" applyFont="1" applyFill="1" applyAlignment="1">
      <alignment horizontal="right" vertical="center" readingOrder="2"/>
    </xf>
    <xf numFmtId="0" fontId="55" fillId="4" borderId="0" xfId="14" applyFont="1" applyFill="1" applyBorder="1" applyAlignment="1">
      <alignment horizontal="right" vertical="center" readingOrder="2"/>
    </xf>
    <xf numFmtId="0" fontId="4" fillId="3" borderId="0" xfId="14" applyFill="1" applyAlignment="1">
      <alignment horizontal="center" vertical="center" readingOrder="2"/>
    </xf>
    <xf numFmtId="0" fontId="55" fillId="3" borderId="4" xfId="14" applyFont="1" applyFill="1" applyBorder="1" applyAlignment="1">
      <alignment horizontal="right" vertical="center" readingOrder="2"/>
    </xf>
    <xf numFmtId="0" fontId="43" fillId="3" borderId="4" xfId="14" applyFont="1" applyFill="1" applyBorder="1" applyAlignment="1">
      <alignment horizontal="right" vertical="center" readingOrder="2"/>
    </xf>
    <xf numFmtId="0" fontId="32" fillId="2" borderId="2" xfId="17" applyFont="1" applyFill="1" applyBorder="1" applyAlignment="1" applyProtection="1">
      <alignment horizontal="right" vertical="center" readingOrder="2"/>
    </xf>
    <xf numFmtId="0" fontId="32" fillId="2" borderId="0" xfId="17" applyFont="1" applyFill="1" applyAlignment="1" applyProtection="1">
      <alignment horizontal="right" vertical="center" readingOrder="2"/>
    </xf>
    <xf numFmtId="0" fontId="86" fillId="4" borderId="0" xfId="14" applyFont="1" applyFill="1" applyAlignment="1" applyProtection="1">
      <alignment horizontal="right" vertical="center" readingOrder="2"/>
    </xf>
    <xf numFmtId="0" fontId="51" fillId="3" borderId="0" xfId="17" applyFont="1" applyFill="1" applyAlignment="1" applyProtection="1">
      <alignment horizontal="right" vertical="center" readingOrder="2"/>
    </xf>
    <xf numFmtId="0" fontId="32" fillId="3" borderId="0" xfId="17" applyFont="1" applyFill="1" applyAlignment="1" applyProtection="1">
      <alignment horizontal="right" vertical="center" readingOrder="2"/>
    </xf>
    <xf numFmtId="0" fontId="32" fillId="3" borderId="0" xfId="17" applyFont="1" applyFill="1" applyBorder="1" applyAlignment="1" applyProtection="1">
      <alignment horizontal="right" vertical="center" readingOrder="2"/>
    </xf>
    <xf numFmtId="0" fontId="32" fillId="3" borderId="0" xfId="17" applyFont="1" applyFill="1" applyAlignment="1" applyProtection="1">
      <alignment horizontal="right" vertical="center" wrapText="1" readingOrder="2"/>
    </xf>
    <xf numFmtId="0" fontId="37" fillId="5" borderId="0" xfId="17" applyFont="1" applyFill="1" applyBorder="1" applyAlignment="1" applyProtection="1">
      <alignment horizontal="right" vertical="center" readingOrder="2"/>
    </xf>
    <xf numFmtId="0" fontId="35" fillId="3" borderId="0" xfId="17" applyFont="1" applyFill="1" applyAlignment="1" applyProtection="1">
      <alignment horizontal="right" vertical="center" readingOrder="2"/>
    </xf>
    <xf numFmtId="0" fontId="51" fillId="3" borderId="0" xfId="19" applyFont="1" applyFill="1" applyAlignment="1" applyProtection="1">
      <alignment horizontal="right" vertical="center" readingOrder="2"/>
    </xf>
    <xf numFmtId="165" fontId="35" fillId="3" borderId="8" xfId="17" applyNumberFormat="1" applyFont="1" applyFill="1" applyBorder="1" applyAlignment="1" applyProtection="1">
      <alignment horizontal="right" vertical="center" readingOrder="2"/>
    </xf>
    <xf numFmtId="165" fontId="35" fillId="3" borderId="0" xfId="17" applyNumberFormat="1" applyFont="1" applyFill="1" applyBorder="1" applyAlignment="1" applyProtection="1">
      <alignment horizontal="right" vertical="center" readingOrder="2"/>
    </xf>
    <xf numFmtId="0" fontId="32" fillId="3" borderId="9" xfId="17" applyFont="1" applyFill="1" applyBorder="1" applyAlignment="1" applyProtection="1">
      <alignment horizontal="right" vertical="center" readingOrder="2"/>
    </xf>
    <xf numFmtId="0" fontId="32" fillId="3" borderId="0" xfId="19" applyFont="1" applyFill="1" applyAlignment="1" applyProtection="1">
      <alignment horizontal="right" vertical="center" readingOrder="2"/>
      <protection locked="0"/>
    </xf>
    <xf numFmtId="165" fontId="32" fillId="8" borderId="54" xfId="14" applyNumberFormat="1" applyFont="1" applyFill="1" applyBorder="1" applyAlignment="1" applyProtection="1">
      <alignment horizontal="right" vertical="center" shrinkToFit="1" readingOrder="2"/>
      <protection locked="0"/>
    </xf>
    <xf numFmtId="165" fontId="32" fillId="8" borderId="55" xfId="14" applyNumberFormat="1" applyFont="1" applyFill="1" applyBorder="1" applyAlignment="1" applyProtection="1">
      <alignment horizontal="right" vertical="center" shrinkToFit="1" readingOrder="2"/>
      <protection locked="0"/>
    </xf>
    <xf numFmtId="165" fontId="32" fillId="3" borderId="0" xfId="17" applyNumberFormat="1" applyFont="1" applyFill="1" applyBorder="1" applyAlignment="1" applyProtection="1">
      <alignment horizontal="right" vertical="center" wrapText="1" readingOrder="2"/>
    </xf>
    <xf numFmtId="165" fontId="32" fillId="8" borderId="56" xfId="14" applyNumberFormat="1" applyFont="1" applyFill="1" applyBorder="1" applyAlignment="1" applyProtection="1">
      <alignment horizontal="right" vertical="center" shrinkToFit="1" readingOrder="2"/>
      <protection locked="0"/>
    </xf>
    <xf numFmtId="165" fontId="32" fillId="8" borderId="57" xfId="14" applyNumberFormat="1" applyFont="1" applyFill="1" applyBorder="1" applyAlignment="1" applyProtection="1">
      <alignment horizontal="right" vertical="center" shrinkToFit="1" readingOrder="2"/>
      <protection locked="0"/>
    </xf>
    <xf numFmtId="165" fontId="32" fillId="8" borderId="58" xfId="14" applyNumberFormat="1" applyFont="1" applyFill="1" applyBorder="1" applyAlignment="1" applyProtection="1">
      <alignment horizontal="right" vertical="center" shrinkToFit="1" readingOrder="2"/>
      <protection locked="0"/>
    </xf>
    <xf numFmtId="165" fontId="32" fillId="8" borderId="59" xfId="14" applyNumberFormat="1" applyFont="1" applyFill="1" applyBorder="1" applyAlignment="1" applyProtection="1">
      <alignment horizontal="right" vertical="center" shrinkToFit="1" readingOrder="2"/>
      <protection locked="0"/>
    </xf>
    <xf numFmtId="165" fontId="32" fillId="9" borderId="60" xfId="14" applyNumberFormat="1" applyFont="1" applyFill="1" applyBorder="1" applyAlignment="1" applyProtection="1">
      <alignment horizontal="right" vertical="center" shrinkToFit="1" readingOrder="2"/>
    </xf>
    <xf numFmtId="165" fontId="32" fillId="9" borderId="61" xfId="14" applyNumberFormat="1" applyFont="1" applyFill="1" applyBorder="1" applyAlignment="1" applyProtection="1">
      <alignment horizontal="right" vertical="center" shrinkToFit="1" readingOrder="2"/>
    </xf>
    <xf numFmtId="0" fontId="32" fillId="3" borderId="0" xfId="19" applyFont="1" applyFill="1" applyAlignment="1" applyProtection="1">
      <alignment horizontal="right" vertical="center" readingOrder="2"/>
    </xf>
    <xf numFmtId="165" fontId="35" fillId="7" borderId="62" xfId="14" applyNumberFormat="1" applyFont="1" applyFill="1" applyBorder="1" applyAlignment="1" applyProtection="1">
      <alignment horizontal="right" vertical="center" shrinkToFit="1" readingOrder="2"/>
    </xf>
    <xf numFmtId="165" fontId="35" fillId="7" borderId="63" xfId="14" applyNumberFormat="1" applyFont="1" applyFill="1" applyBorder="1" applyAlignment="1" applyProtection="1">
      <alignment horizontal="right" vertical="center" shrinkToFit="1" readingOrder="2"/>
    </xf>
    <xf numFmtId="0" fontId="32" fillId="3" borderId="0" xfId="17" applyFont="1" applyFill="1" applyAlignment="1" applyProtection="1">
      <alignment horizontal="right" vertical="center" readingOrder="2"/>
      <protection locked="0"/>
    </xf>
    <xf numFmtId="165" fontId="32" fillId="8" borderId="64" xfId="14" applyNumberFormat="1" applyFont="1" applyFill="1" applyBorder="1" applyAlignment="1" applyProtection="1">
      <alignment horizontal="right" vertical="center" shrinkToFit="1" readingOrder="2"/>
      <protection locked="0"/>
    </xf>
    <xf numFmtId="165" fontId="32" fillId="8" borderId="65" xfId="14" applyNumberFormat="1" applyFont="1" applyFill="1" applyBorder="1" applyAlignment="1" applyProtection="1">
      <alignment horizontal="right" vertical="center" shrinkToFit="1" readingOrder="2"/>
      <protection locked="0"/>
    </xf>
    <xf numFmtId="0" fontId="32" fillId="3" borderId="37" xfId="17" applyFont="1" applyFill="1" applyBorder="1" applyAlignment="1" applyProtection="1">
      <alignment horizontal="right" vertical="center" readingOrder="2"/>
    </xf>
    <xf numFmtId="165" fontId="35" fillId="3" borderId="3" xfId="17" applyNumberFormat="1" applyFont="1" applyFill="1" applyBorder="1" applyAlignment="1" applyProtection="1">
      <alignment horizontal="right" vertical="center" readingOrder="2"/>
    </xf>
    <xf numFmtId="0" fontId="32" fillId="3" borderId="21" xfId="17" applyFont="1" applyFill="1" applyBorder="1" applyAlignment="1" applyProtection="1">
      <alignment horizontal="right" vertical="center" readingOrder="2"/>
    </xf>
    <xf numFmtId="165" fontId="32" fillId="3" borderId="0" xfId="17" applyNumberFormat="1" applyFont="1" applyFill="1" applyAlignment="1" applyProtection="1">
      <alignment horizontal="right" vertical="center" readingOrder="2"/>
    </xf>
    <xf numFmtId="165" fontId="32" fillId="3" borderId="0" xfId="17" applyNumberFormat="1" applyFont="1" applyFill="1" applyBorder="1" applyAlignment="1" applyProtection="1">
      <alignment horizontal="right" vertical="center" readingOrder="2"/>
    </xf>
    <xf numFmtId="0" fontId="35" fillId="3" borderId="0" xfId="19" applyFont="1" applyFill="1" applyAlignment="1" applyProtection="1">
      <alignment horizontal="right" vertical="center" readingOrder="2"/>
    </xf>
    <xf numFmtId="165" fontId="32" fillId="8" borderId="49" xfId="14" applyNumberFormat="1" applyFont="1" applyFill="1" applyBorder="1" applyAlignment="1" applyProtection="1">
      <alignment horizontal="right" vertical="center" shrinkToFit="1" readingOrder="2"/>
      <protection locked="0"/>
    </xf>
    <xf numFmtId="0" fontId="32" fillId="3" borderId="49" xfId="17" applyFont="1" applyFill="1" applyBorder="1" applyAlignment="1" applyProtection="1">
      <alignment horizontal="right" vertical="center" readingOrder="2"/>
    </xf>
    <xf numFmtId="165" fontId="32" fillId="8" borderId="50" xfId="14" applyNumberFormat="1" applyFont="1" applyFill="1" applyBorder="1" applyAlignment="1" applyProtection="1">
      <alignment horizontal="right" vertical="center" shrinkToFit="1" readingOrder="2"/>
      <protection locked="0"/>
    </xf>
    <xf numFmtId="0" fontId="32" fillId="3" borderId="50" xfId="17" applyFont="1" applyFill="1" applyBorder="1" applyAlignment="1" applyProtection="1">
      <alignment horizontal="right" vertical="center" readingOrder="2"/>
    </xf>
    <xf numFmtId="165" fontId="32" fillId="8" borderId="66" xfId="14" applyNumberFormat="1" applyFont="1" applyFill="1" applyBorder="1" applyAlignment="1" applyProtection="1">
      <alignment horizontal="right" vertical="center" shrinkToFit="1" readingOrder="2"/>
      <protection locked="0"/>
    </xf>
    <xf numFmtId="165" fontId="35" fillId="9" borderId="15" xfId="14" applyNumberFormat="1" applyFont="1" applyFill="1" applyBorder="1" applyAlignment="1" applyProtection="1">
      <alignment horizontal="right" vertical="center" shrinkToFit="1" readingOrder="2"/>
    </xf>
    <xf numFmtId="0" fontId="32" fillId="3" borderId="66" xfId="17" applyFont="1" applyFill="1" applyBorder="1" applyAlignment="1" applyProtection="1">
      <alignment horizontal="right" vertical="center" readingOrder="2"/>
    </xf>
    <xf numFmtId="165" fontId="32" fillId="8" borderId="49" xfId="17" applyNumberFormat="1" applyFont="1" applyFill="1" applyBorder="1" applyAlignment="1" applyProtection="1">
      <alignment horizontal="right" vertical="center" shrinkToFit="1" readingOrder="2"/>
      <protection locked="0"/>
    </xf>
    <xf numFmtId="165" fontId="32" fillId="8" borderId="50" xfId="17" applyNumberFormat="1" applyFont="1" applyFill="1" applyBorder="1" applyAlignment="1" applyProtection="1">
      <alignment horizontal="right" vertical="center" shrinkToFit="1" readingOrder="2"/>
      <protection locked="0"/>
    </xf>
    <xf numFmtId="165" fontId="32" fillId="8" borderId="66" xfId="17" applyNumberFormat="1" applyFont="1" applyFill="1" applyBorder="1" applyAlignment="1" applyProtection="1">
      <alignment horizontal="right" vertical="center" shrinkToFit="1" readingOrder="2"/>
      <protection locked="0"/>
    </xf>
    <xf numFmtId="0" fontId="51" fillId="3" borderId="0" xfId="14" applyFont="1" applyFill="1" applyAlignment="1" applyProtection="1">
      <alignment horizontal="right" vertical="center" wrapText="1" readingOrder="2"/>
    </xf>
    <xf numFmtId="0" fontId="51" fillId="3" borderId="0" xfId="17" applyFont="1" applyFill="1" applyBorder="1" applyAlignment="1" applyProtection="1">
      <alignment horizontal="right" vertical="center" readingOrder="2"/>
    </xf>
    <xf numFmtId="0" fontId="32" fillId="3" borderId="0" xfId="17" applyFont="1" applyFill="1" applyBorder="1" applyAlignment="1" applyProtection="1">
      <alignment horizontal="right" vertical="center" wrapText="1" readingOrder="2"/>
    </xf>
    <xf numFmtId="165" fontId="35" fillId="9" borderId="14" xfId="14" applyNumberFormat="1" applyFont="1" applyFill="1" applyBorder="1" applyAlignment="1" applyProtection="1">
      <alignment horizontal="right" vertical="center" shrinkToFit="1" readingOrder="2"/>
    </xf>
    <xf numFmtId="165" fontId="35" fillId="7" borderId="15" xfId="14" applyNumberFormat="1" applyFont="1" applyFill="1" applyBorder="1" applyAlignment="1" applyProtection="1">
      <alignment horizontal="right" vertical="center" shrinkToFit="1" readingOrder="2"/>
    </xf>
    <xf numFmtId="165" fontId="32" fillId="3" borderId="0" xfId="17" applyNumberFormat="1" applyFont="1" applyFill="1" applyBorder="1" applyAlignment="1" applyProtection="1">
      <alignment horizontal="right" vertical="center" shrinkToFit="1" readingOrder="2"/>
    </xf>
    <xf numFmtId="0" fontId="35" fillId="2" borderId="2" xfId="14" applyFont="1" applyFill="1" applyBorder="1" applyAlignment="1" applyProtection="1">
      <alignment horizontal="right" vertical="center" readingOrder="2"/>
    </xf>
    <xf numFmtId="165" fontId="32" fillId="9" borderId="15" xfId="14" applyNumberFormat="1" applyFont="1" applyFill="1" applyBorder="1" applyAlignment="1" applyProtection="1">
      <alignment horizontal="right" vertical="center" shrinkToFit="1" readingOrder="2"/>
    </xf>
    <xf numFmtId="165" fontId="32" fillId="3" borderId="0" xfId="17" applyNumberFormat="1" applyFont="1" applyFill="1" applyAlignment="1" applyProtection="1">
      <alignment horizontal="right" vertical="center" shrinkToFit="1" readingOrder="2"/>
    </xf>
    <xf numFmtId="0" fontId="32" fillId="2" borderId="0" xfId="17" applyFont="1" applyFill="1" applyBorder="1" applyAlignment="1" applyProtection="1">
      <alignment horizontal="right" vertical="center" readingOrder="2"/>
    </xf>
    <xf numFmtId="165" fontId="32" fillId="9" borderId="15" xfId="17" applyNumberFormat="1" applyFont="1" applyFill="1" applyBorder="1" applyAlignment="1" applyProtection="1">
      <alignment horizontal="right" vertical="center" shrinkToFit="1" readingOrder="2"/>
    </xf>
    <xf numFmtId="165" fontId="32" fillId="3" borderId="49" xfId="17" applyNumberFormat="1" applyFont="1" applyFill="1" applyBorder="1" applyAlignment="1" applyProtection="1">
      <alignment horizontal="right" vertical="center" shrinkToFit="1" readingOrder="2"/>
    </xf>
    <xf numFmtId="0" fontId="32" fillId="2" borderId="25" xfId="17" applyFont="1" applyFill="1" applyBorder="1" applyAlignment="1" applyProtection="1">
      <alignment horizontal="right" vertical="center" readingOrder="2"/>
    </xf>
    <xf numFmtId="0" fontId="51" fillId="2" borderId="0" xfId="14" applyFont="1" applyFill="1" applyBorder="1" applyAlignment="1" applyProtection="1">
      <alignment horizontal="right" vertical="center" readingOrder="2"/>
    </xf>
    <xf numFmtId="0" fontId="32" fillId="2" borderId="0" xfId="14" applyFont="1" applyFill="1" applyBorder="1" applyAlignment="1" applyProtection="1">
      <alignment horizontal="right" vertical="center" wrapText="1" readingOrder="2"/>
    </xf>
    <xf numFmtId="0" fontId="32" fillId="2" borderId="0" xfId="14" applyFont="1" applyFill="1" applyAlignment="1" applyProtection="1">
      <alignment horizontal="right" vertical="center" wrapText="1" readingOrder="2"/>
    </xf>
    <xf numFmtId="40" fontId="32" fillId="2" borderId="0" xfId="17" applyNumberFormat="1" applyFont="1" applyFill="1" applyBorder="1" applyAlignment="1" applyProtection="1">
      <alignment horizontal="right" vertical="center" readingOrder="2"/>
    </xf>
    <xf numFmtId="0" fontId="32" fillId="2" borderId="0" xfId="17" applyFont="1" applyFill="1" applyAlignment="1" applyProtection="1">
      <alignment horizontal="right" vertical="center" wrapText="1" readingOrder="2"/>
    </xf>
    <xf numFmtId="0" fontId="51" fillId="2" borderId="0" xfId="17" applyFont="1" applyFill="1" applyAlignment="1" applyProtection="1">
      <alignment horizontal="right" vertical="center" readingOrder="2"/>
    </xf>
    <xf numFmtId="0" fontId="51" fillId="2" borderId="0" xfId="17" applyFont="1" applyFill="1" applyBorder="1" applyAlignment="1" applyProtection="1">
      <alignment horizontal="right" vertical="center" readingOrder="2"/>
    </xf>
    <xf numFmtId="0" fontId="35" fillId="2" borderId="0" xfId="17" applyFont="1" applyFill="1" applyBorder="1" applyAlignment="1" applyProtection="1">
      <alignment horizontal="right" vertical="center" readingOrder="2"/>
    </xf>
    <xf numFmtId="0" fontId="35" fillId="2" borderId="0" xfId="17" applyFont="1" applyFill="1" applyAlignment="1" applyProtection="1">
      <alignment horizontal="right" vertical="center" readingOrder="2"/>
    </xf>
    <xf numFmtId="0" fontId="51" fillId="2" borderId="0" xfId="19" applyFont="1" applyFill="1" applyAlignment="1" applyProtection="1">
      <alignment horizontal="right" vertical="center" readingOrder="2"/>
    </xf>
    <xf numFmtId="165" fontId="35" fillId="2" borderId="0" xfId="17" applyNumberFormat="1" applyFont="1" applyFill="1" applyBorder="1" applyAlignment="1" applyProtection="1">
      <alignment horizontal="right" vertical="center" readingOrder="2"/>
    </xf>
    <xf numFmtId="165" fontId="32" fillId="2" borderId="67" xfId="14" applyNumberFormat="1" applyFont="1" applyFill="1" applyBorder="1" applyAlignment="1" applyProtection="1">
      <alignment horizontal="right" vertical="center" shrinkToFit="1" readingOrder="2"/>
    </xf>
    <xf numFmtId="165" fontId="35" fillId="2" borderId="15" xfId="14" applyNumberFormat="1" applyFont="1" applyFill="1" applyBorder="1" applyAlignment="1" applyProtection="1">
      <alignment horizontal="right" vertical="center" shrinkToFit="1" readingOrder="2"/>
    </xf>
    <xf numFmtId="0" fontId="35" fillId="2" borderId="0" xfId="19" applyFont="1" applyFill="1" applyAlignment="1" applyProtection="1">
      <alignment horizontal="right" vertical="center" readingOrder="2"/>
    </xf>
    <xf numFmtId="165" fontId="32" fillId="2" borderId="0" xfId="17" applyNumberFormat="1" applyFont="1" applyFill="1" applyBorder="1" applyAlignment="1" applyProtection="1">
      <alignment horizontal="right" vertical="center" shrinkToFit="1" readingOrder="2"/>
    </xf>
    <xf numFmtId="0" fontId="32" fillId="2" borderId="0" xfId="17" applyFont="1" applyFill="1" applyBorder="1" applyAlignment="1" applyProtection="1">
      <alignment horizontal="right" vertical="center" wrapText="1" readingOrder="2"/>
    </xf>
    <xf numFmtId="165" fontId="35" fillId="2" borderId="14" xfId="14" applyNumberFormat="1" applyFont="1" applyFill="1" applyBorder="1" applyAlignment="1" applyProtection="1">
      <alignment horizontal="right" vertical="center" shrinkToFit="1" readingOrder="2"/>
    </xf>
    <xf numFmtId="165" fontId="32" fillId="2" borderId="0" xfId="17" applyNumberFormat="1" applyFont="1" applyFill="1" applyBorder="1" applyAlignment="1" applyProtection="1">
      <alignment horizontal="right" vertical="center" wrapText="1" readingOrder="2"/>
    </xf>
    <xf numFmtId="0" fontId="22" fillId="10" borderId="0" xfId="11" applyFont="1" applyFill="1" applyBorder="1" applyAlignment="1" applyProtection="1">
      <alignment horizontal="right" vertical="top" readingOrder="2"/>
    </xf>
    <xf numFmtId="0" fontId="4" fillId="0" borderId="0" xfId="14"/>
    <xf numFmtId="0" fontId="32" fillId="0" borderId="0" xfId="14" applyFont="1"/>
    <xf numFmtId="0" fontId="87" fillId="4" borderId="0" xfId="14" applyFont="1" applyFill="1" applyAlignment="1" applyProtection="1">
      <alignment horizontal="right" vertical="center" readingOrder="2"/>
    </xf>
    <xf numFmtId="0" fontId="55" fillId="4" borderId="0" xfId="14" applyFont="1" applyFill="1" applyBorder="1" applyAlignment="1" applyProtection="1">
      <alignment horizontal="right" vertical="center" readingOrder="2"/>
    </xf>
    <xf numFmtId="0" fontId="22" fillId="3" borderId="0" xfId="11" applyFont="1" applyFill="1" applyBorder="1" applyAlignment="1" applyProtection="1">
      <alignment horizontal="right" vertical="top" shrinkToFit="1" readingOrder="2"/>
    </xf>
    <xf numFmtId="0" fontId="35" fillId="3" borderId="0" xfId="14" applyFont="1" applyFill="1" applyBorder="1" applyAlignment="1" applyProtection="1">
      <alignment horizontal="right" vertical="center" readingOrder="2"/>
    </xf>
    <xf numFmtId="0" fontId="37" fillId="5" borderId="0" xfId="14" applyFont="1" applyFill="1" applyBorder="1" applyAlignment="1" applyProtection="1">
      <alignment horizontal="right" vertical="center" readingOrder="2"/>
    </xf>
    <xf numFmtId="0" fontId="37" fillId="5" borderId="9" xfId="14" applyFont="1" applyFill="1" applyBorder="1" applyAlignment="1" applyProtection="1">
      <alignment horizontal="right" vertical="center" readingOrder="2"/>
    </xf>
    <xf numFmtId="0" fontId="51" fillId="6" borderId="8" xfId="14" applyFont="1" applyFill="1" applyBorder="1" applyAlignment="1" applyProtection="1">
      <alignment horizontal="right" vertical="center" readingOrder="2"/>
    </xf>
    <xf numFmtId="0" fontId="37" fillId="6" borderId="0" xfId="14" applyFont="1" applyFill="1" applyBorder="1" applyAlignment="1" applyProtection="1">
      <alignment horizontal="right" vertical="center" readingOrder="2"/>
    </xf>
    <xf numFmtId="0" fontId="32" fillId="6" borderId="8" xfId="24" applyFont="1" applyFill="1" applyBorder="1" applyAlignment="1" applyProtection="1">
      <alignment horizontal="right" vertical="center" readingOrder="2"/>
    </xf>
    <xf numFmtId="165" fontId="32" fillId="8" borderId="68" xfId="14" applyNumberFormat="1" applyFont="1" applyFill="1" applyBorder="1" applyAlignment="1" applyProtection="1">
      <alignment horizontal="right" vertical="center" shrinkToFit="1" readingOrder="2"/>
      <protection locked="0"/>
    </xf>
    <xf numFmtId="165" fontId="32" fillId="6" borderId="69" xfId="14" applyNumberFormat="1" applyFont="1" applyFill="1" applyBorder="1" applyAlignment="1" applyProtection="1">
      <alignment horizontal="right" vertical="center" shrinkToFit="1" readingOrder="2"/>
    </xf>
    <xf numFmtId="165" fontId="32" fillId="8" borderId="69" xfId="14" applyNumberFormat="1" applyFont="1" applyFill="1" applyBorder="1" applyAlignment="1" applyProtection="1">
      <alignment horizontal="right" vertical="center" shrinkToFit="1" readingOrder="2"/>
      <protection locked="0"/>
    </xf>
    <xf numFmtId="165" fontId="32" fillId="6" borderId="69" xfId="17" applyNumberFormat="1" applyFont="1" applyFill="1" applyBorder="1" applyAlignment="1" applyProtection="1">
      <alignment horizontal="right" vertical="center" shrinkToFit="1" readingOrder="2"/>
    </xf>
    <xf numFmtId="165" fontId="32" fillId="8" borderId="70" xfId="14" applyNumberFormat="1" applyFont="1" applyFill="1" applyBorder="1" applyAlignment="1" applyProtection="1">
      <alignment horizontal="right" vertical="center" shrinkToFit="1" readingOrder="2"/>
      <protection locked="0"/>
    </xf>
    <xf numFmtId="165" fontId="32" fillId="6" borderId="71" xfId="14" applyNumberFormat="1" applyFont="1" applyFill="1" applyBorder="1" applyAlignment="1" applyProtection="1">
      <alignment horizontal="right" vertical="center" shrinkToFit="1" readingOrder="2"/>
    </xf>
    <xf numFmtId="165" fontId="32" fillId="8" borderId="71" xfId="14" applyNumberFormat="1" applyFont="1" applyFill="1" applyBorder="1" applyAlignment="1" applyProtection="1">
      <alignment horizontal="right" vertical="center" shrinkToFit="1" readingOrder="2"/>
      <protection locked="0"/>
    </xf>
    <xf numFmtId="165" fontId="32" fillId="6" borderId="71" xfId="17" applyNumberFormat="1" applyFont="1" applyFill="1" applyBorder="1" applyAlignment="1" applyProtection="1">
      <alignment horizontal="right" vertical="center" shrinkToFit="1" readingOrder="2"/>
    </xf>
    <xf numFmtId="0" fontId="32" fillId="6" borderId="8" xfId="17" applyFont="1" applyFill="1" applyBorder="1" applyAlignment="1" applyProtection="1">
      <alignment horizontal="right" vertical="center" readingOrder="2"/>
    </xf>
    <xf numFmtId="0" fontId="32" fillId="6" borderId="8" xfId="17" applyFont="1" applyFill="1" applyBorder="1" applyAlignment="1" applyProtection="1">
      <alignment horizontal="right" vertical="center" readingOrder="2"/>
      <protection locked="0"/>
    </xf>
    <xf numFmtId="165" fontId="32" fillId="8" borderId="72" xfId="14" applyNumberFormat="1" applyFont="1" applyFill="1" applyBorder="1" applyAlignment="1" applyProtection="1">
      <alignment horizontal="right" vertical="center" shrinkToFit="1" readingOrder="2"/>
      <protection locked="0"/>
    </xf>
    <xf numFmtId="165" fontId="32" fillId="8" borderId="73" xfId="14" applyNumberFormat="1" applyFont="1" applyFill="1" applyBorder="1" applyAlignment="1" applyProtection="1">
      <alignment horizontal="right" vertical="center" shrinkToFit="1" readingOrder="2"/>
      <protection locked="0"/>
    </xf>
    <xf numFmtId="0" fontId="32" fillId="6" borderId="8" xfId="14" applyFont="1" applyFill="1" applyBorder="1" applyAlignment="1" applyProtection="1">
      <alignment horizontal="right" vertical="center" readingOrder="2"/>
    </xf>
    <xf numFmtId="165" fontId="35" fillId="9" borderId="74" xfId="14" applyNumberFormat="1" applyFont="1" applyFill="1" applyBorder="1" applyAlignment="1" applyProtection="1">
      <alignment horizontal="right" vertical="center" shrinkToFit="1" readingOrder="2"/>
    </xf>
    <xf numFmtId="165" fontId="35" fillId="9" borderId="75" xfId="14" applyNumberFormat="1" applyFont="1" applyFill="1" applyBorder="1" applyAlignment="1" applyProtection="1">
      <alignment horizontal="right" vertical="center" shrinkToFit="1" readingOrder="2"/>
    </xf>
    <xf numFmtId="165" fontId="35" fillId="9" borderId="76" xfId="14" applyNumberFormat="1" applyFont="1" applyFill="1" applyBorder="1" applyAlignment="1" applyProtection="1">
      <alignment horizontal="right" vertical="center" shrinkToFit="1" readingOrder="2"/>
    </xf>
    <xf numFmtId="165" fontId="32" fillId="6" borderId="68" xfId="14" applyNumberFormat="1" applyFont="1" applyFill="1" applyBorder="1" applyAlignment="1" applyProtection="1">
      <alignment horizontal="right" vertical="center" shrinkToFit="1" readingOrder="2"/>
    </xf>
    <xf numFmtId="165" fontId="32" fillId="6" borderId="70" xfId="14" applyNumberFormat="1" applyFont="1" applyFill="1" applyBorder="1" applyAlignment="1" applyProtection="1">
      <alignment horizontal="right" vertical="center" shrinkToFit="1" readingOrder="2"/>
    </xf>
    <xf numFmtId="0" fontId="32" fillId="6" borderId="37" xfId="14" applyFont="1" applyFill="1" applyBorder="1" applyAlignment="1" applyProtection="1">
      <alignment horizontal="right" vertical="center" readingOrder="2"/>
    </xf>
    <xf numFmtId="0" fontId="32" fillId="6" borderId="3" xfId="14" applyFont="1" applyFill="1" applyBorder="1" applyAlignment="1" applyProtection="1">
      <alignment horizontal="right" vertical="center" readingOrder="2"/>
    </xf>
    <xf numFmtId="0" fontId="32" fillId="6" borderId="21" xfId="14" applyFont="1" applyFill="1" applyBorder="1" applyAlignment="1" applyProtection="1">
      <alignment horizontal="right" vertical="center" readingOrder="2"/>
    </xf>
    <xf numFmtId="0" fontId="35" fillId="2" borderId="0" xfId="14" applyFont="1" applyFill="1" applyBorder="1" applyAlignment="1" applyProtection="1">
      <alignment horizontal="right" vertical="center" readingOrder="2"/>
    </xf>
    <xf numFmtId="0" fontId="35" fillId="2" borderId="24" xfId="14" applyFont="1" applyFill="1" applyBorder="1" applyAlignment="1" applyProtection="1">
      <alignment horizontal="right" vertical="center" readingOrder="2"/>
    </xf>
    <xf numFmtId="0" fontId="32" fillId="2" borderId="0" xfId="24" applyFont="1" applyFill="1" applyBorder="1" applyAlignment="1" applyProtection="1">
      <alignment horizontal="right" vertical="center" readingOrder="2"/>
    </xf>
    <xf numFmtId="0" fontId="81" fillId="3" borderId="0" xfId="14" applyFont="1" applyFill="1" applyBorder="1" applyAlignment="1">
      <alignment horizontal="right" vertical="center" readingOrder="2"/>
    </xf>
    <xf numFmtId="0" fontId="55" fillId="3" borderId="0" xfId="14" applyFont="1" applyFill="1" applyBorder="1" applyAlignment="1">
      <alignment horizontal="center" vertical="center" readingOrder="2"/>
    </xf>
    <xf numFmtId="0" fontId="4" fillId="3" borderId="0" xfId="14" applyFill="1" applyBorder="1" applyAlignment="1">
      <alignment vertical="center" readingOrder="2"/>
    </xf>
    <xf numFmtId="0" fontId="32" fillId="3" borderId="0" xfId="14" applyFont="1" applyFill="1" applyAlignment="1">
      <alignment horizontal="right" vertical="center" readingOrder="2"/>
    </xf>
    <xf numFmtId="0" fontId="51" fillId="3" borderId="0" xfId="14" applyFont="1" applyFill="1" applyAlignment="1">
      <alignment horizontal="right" vertical="center" readingOrder="2"/>
    </xf>
    <xf numFmtId="0" fontId="32" fillId="3" borderId="0" xfId="14" applyFont="1" applyFill="1" applyAlignment="1">
      <alignment horizontal="right" vertical="center" wrapText="1" readingOrder="2"/>
    </xf>
    <xf numFmtId="0" fontId="32" fillId="3" borderId="0" xfId="14" applyFont="1" applyFill="1" applyAlignment="1" applyProtection="1">
      <alignment horizontal="right" vertical="center" wrapText="1" readingOrder="2"/>
      <protection locked="0"/>
    </xf>
    <xf numFmtId="0" fontId="51" fillId="3" borderId="0" xfId="14" applyFont="1" applyFill="1" applyAlignment="1" applyProtection="1">
      <alignment horizontal="right" vertical="center" readingOrder="2"/>
      <protection locked="0"/>
    </xf>
    <xf numFmtId="0" fontId="32" fillId="3" borderId="0" xfId="14" applyFont="1" applyFill="1" applyBorder="1" applyAlignment="1" applyProtection="1">
      <alignment horizontal="right" vertical="center" wrapText="1" readingOrder="2"/>
      <protection locked="0"/>
    </xf>
    <xf numFmtId="0" fontId="32" fillId="2" borderId="25" xfId="14" applyFont="1" applyFill="1" applyBorder="1" applyAlignment="1">
      <alignment horizontal="right" vertical="center" readingOrder="2"/>
    </xf>
    <xf numFmtId="0" fontId="32" fillId="2" borderId="0" xfId="14" applyFont="1" applyFill="1" applyBorder="1" applyAlignment="1">
      <alignment horizontal="right" vertical="center" readingOrder="2"/>
    </xf>
    <xf numFmtId="0" fontId="32" fillId="2" borderId="0" xfId="14" applyFont="1" applyFill="1" applyBorder="1" applyAlignment="1">
      <alignment horizontal="right" vertical="center" wrapText="1" readingOrder="2"/>
    </xf>
    <xf numFmtId="0" fontId="55" fillId="4" borderId="0" xfId="14" applyFont="1" applyFill="1" applyAlignment="1" applyProtection="1">
      <alignment horizontal="right" vertical="center" readingOrder="2"/>
    </xf>
    <xf numFmtId="0" fontId="32" fillId="3" borderId="0" xfId="14" applyFont="1" applyFill="1" applyAlignment="1" applyProtection="1">
      <alignment horizontal="center" vertical="center" readingOrder="2"/>
    </xf>
    <xf numFmtId="0" fontId="67" fillId="5" borderId="5" xfId="14" applyFont="1" applyFill="1" applyBorder="1" applyAlignment="1" applyProtection="1">
      <alignment horizontal="right" vertical="center" readingOrder="2"/>
    </xf>
    <xf numFmtId="0" fontId="37" fillId="5" borderId="77" xfId="14" applyFont="1" applyFill="1" applyBorder="1" applyAlignment="1" applyProtection="1">
      <alignment horizontal="center" vertical="center" wrapText="1" readingOrder="2"/>
    </xf>
    <xf numFmtId="0" fontId="37" fillId="5" borderId="78" xfId="14" applyFont="1" applyFill="1" applyBorder="1" applyAlignment="1" applyProtection="1">
      <alignment horizontal="center" vertical="center" wrapText="1" readingOrder="2"/>
    </xf>
    <xf numFmtId="0" fontId="35" fillId="6" borderId="0" xfId="14" applyFont="1" applyFill="1" applyBorder="1" applyAlignment="1" applyProtection="1">
      <alignment horizontal="right" vertical="center" readingOrder="2"/>
    </xf>
    <xf numFmtId="0" fontId="35" fillId="6" borderId="9" xfId="14" applyFont="1" applyFill="1" applyBorder="1" applyAlignment="1" applyProtection="1">
      <alignment horizontal="right" vertical="center" readingOrder="2"/>
    </xf>
    <xf numFmtId="165" fontId="32" fillId="8" borderId="79" xfId="19" applyNumberFormat="1" applyFont="1" applyFill="1" applyBorder="1" applyAlignment="1" applyProtection="1">
      <alignment horizontal="right" vertical="center" shrinkToFit="1" readingOrder="2"/>
      <protection locked="0"/>
    </xf>
    <xf numFmtId="165" fontId="32" fillId="9" borderId="79" xfId="19" applyNumberFormat="1" applyFont="1" applyFill="1" applyBorder="1" applyAlignment="1" applyProtection="1">
      <alignment horizontal="right" vertical="center" shrinkToFit="1" readingOrder="2"/>
    </xf>
    <xf numFmtId="165" fontId="32" fillId="7" borderId="80" xfId="19" applyNumberFormat="1" applyFont="1" applyFill="1" applyBorder="1" applyAlignment="1" applyProtection="1">
      <alignment horizontal="right" vertical="center" shrinkToFit="1" readingOrder="2"/>
    </xf>
    <xf numFmtId="165" fontId="32" fillId="8" borderId="81" xfId="19" applyNumberFormat="1" applyFont="1" applyFill="1" applyBorder="1" applyAlignment="1" applyProtection="1">
      <alignment horizontal="right" vertical="center" shrinkToFit="1" readingOrder="2"/>
      <protection locked="0"/>
    </xf>
    <xf numFmtId="165" fontId="32" fillId="9" borderId="81" xfId="19" applyNumberFormat="1" applyFont="1" applyFill="1" applyBorder="1" applyAlignment="1" applyProtection="1">
      <alignment horizontal="right" vertical="center" shrinkToFit="1" readingOrder="2"/>
    </xf>
    <xf numFmtId="165" fontId="32" fillId="7" borderId="82" xfId="19" applyNumberFormat="1" applyFont="1" applyFill="1" applyBorder="1" applyAlignment="1" applyProtection="1">
      <alignment horizontal="right" vertical="center" shrinkToFit="1" readingOrder="2"/>
    </xf>
    <xf numFmtId="0" fontId="32" fillId="6" borderId="8" xfId="14" applyFont="1" applyFill="1" applyBorder="1" applyAlignment="1" applyProtection="1">
      <alignment horizontal="right" vertical="center" readingOrder="2"/>
      <protection locked="0"/>
    </xf>
    <xf numFmtId="165" fontId="32" fillId="8" borderId="71" xfId="19" applyNumberFormat="1" applyFont="1" applyFill="1" applyBorder="1" applyAlignment="1" applyProtection="1">
      <alignment horizontal="right" vertical="center" shrinkToFit="1" readingOrder="2"/>
      <protection locked="0"/>
    </xf>
    <xf numFmtId="165" fontId="32" fillId="9" borderId="71" xfId="19" applyNumberFormat="1" applyFont="1" applyFill="1" applyBorder="1" applyAlignment="1" applyProtection="1">
      <alignment horizontal="right" vertical="center" shrinkToFit="1" readingOrder="2"/>
    </xf>
    <xf numFmtId="165" fontId="32" fillId="7" borderId="83" xfId="19" applyNumberFormat="1" applyFont="1" applyFill="1" applyBorder="1" applyAlignment="1" applyProtection="1">
      <alignment horizontal="right" vertical="center" shrinkToFit="1" readingOrder="2"/>
    </xf>
    <xf numFmtId="165" fontId="32" fillId="3" borderId="0" xfId="14" applyNumberFormat="1" applyFont="1" applyFill="1" applyAlignment="1" applyProtection="1">
      <alignment horizontal="right" vertical="center" readingOrder="2"/>
    </xf>
    <xf numFmtId="165" fontId="32" fillId="2" borderId="0" xfId="14" applyNumberFormat="1" applyFont="1" applyFill="1" applyAlignment="1" applyProtection="1">
      <alignment horizontal="right" vertical="center" readingOrder="2"/>
    </xf>
    <xf numFmtId="165" fontId="32" fillId="6" borderId="0" xfId="14" applyNumberFormat="1" applyFont="1" applyFill="1" applyBorder="1" applyAlignment="1" applyProtection="1">
      <alignment horizontal="right" vertical="center" shrinkToFit="1" readingOrder="2"/>
    </xf>
    <xf numFmtId="165" fontId="32" fillId="6" borderId="9" xfId="14" applyNumberFormat="1" applyFont="1" applyFill="1" applyBorder="1" applyAlignment="1" applyProtection="1">
      <alignment horizontal="right" vertical="center" shrinkToFit="1" readingOrder="2"/>
    </xf>
    <xf numFmtId="0" fontId="35" fillId="6" borderId="8" xfId="14" applyFont="1" applyFill="1" applyBorder="1" applyAlignment="1" applyProtection="1">
      <alignment horizontal="right" vertical="center" readingOrder="2"/>
    </xf>
    <xf numFmtId="37" fontId="35" fillId="3" borderId="0" xfId="14" applyNumberFormat="1" applyFont="1" applyFill="1" applyAlignment="1" applyProtection="1">
      <alignment horizontal="right" vertical="center" readingOrder="2"/>
    </xf>
    <xf numFmtId="37" fontId="35" fillId="2" borderId="0" xfId="14" applyNumberFormat="1" applyFont="1" applyFill="1" applyAlignment="1" applyProtection="1">
      <alignment horizontal="right" vertical="center" readingOrder="2"/>
    </xf>
    <xf numFmtId="169" fontId="35" fillId="2" borderId="25" xfId="14" applyNumberFormat="1" applyFont="1" applyFill="1" applyBorder="1" applyAlignment="1" applyProtection="1">
      <alignment horizontal="right" vertical="center" readingOrder="2"/>
    </xf>
    <xf numFmtId="165" fontId="35" fillId="2" borderId="25" xfId="14" applyNumberFormat="1" applyFont="1" applyFill="1" applyBorder="1" applyAlignment="1" applyProtection="1">
      <alignment horizontal="right" vertical="center" readingOrder="2"/>
    </xf>
    <xf numFmtId="169" fontId="35" fillId="2" borderId="0" xfId="14" applyNumberFormat="1" applyFont="1" applyFill="1" applyBorder="1" applyAlignment="1" applyProtection="1">
      <alignment horizontal="right" vertical="center" readingOrder="2"/>
    </xf>
    <xf numFmtId="165" fontId="35" fillId="2" borderId="0" xfId="14" applyNumberFormat="1" applyFont="1" applyFill="1" applyBorder="1" applyAlignment="1" applyProtection="1">
      <alignment horizontal="right" vertical="center" readingOrder="2"/>
    </xf>
    <xf numFmtId="170" fontId="32" fillId="2" borderId="0" xfId="8" applyNumberFormat="1" applyFont="1" applyFill="1" applyBorder="1" applyAlignment="1" applyProtection="1">
      <alignment horizontal="right" vertical="center" readingOrder="2"/>
    </xf>
    <xf numFmtId="0" fontId="51" fillId="2" borderId="0" xfId="14" applyFont="1" applyFill="1" applyAlignment="1" applyProtection="1">
      <alignment horizontal="right" vertical="center" readingOrder="2"/>
    </xf>
    <xf numFmtId="0" fontId="38" fillId="2" borderId="1" xfId="14" applyFont="1" applyFill="1" applyBorder="1" applyAlignment="1" applyProtection="1">
      <alignment horizontal="center" vertical="center" wrapText="1" readingOrder="2"/>
    </xf>
    <xf numFmtId="0" fontId="50" fillId="2" borderId="42" xfId="14" applyFont="1" applyFill="1" applyBorder="1" applyAlignment="1" applyProtection="1">
      <alignment horizontal="right" vertical="center" readingOrder="2"/>
    </xf>
    <xf numFmtId="0" fontId="38" fillId="2" borderId="67" xfId="14" applyFont="1" applyFill="1" applyBorder="1" applyAlignment="1" applyProtection="1">
      <alignment horizontal="right" vertical="center" readingOrder="2"/>
    </xf>
    <xf numFmtId="0" fontId="33" fillId="2" borderId="67" xfId="14" applyFont="1" applyFill="1" applyBorder="1" applyAlignment="1" applyProtection="1">
      <alignment horizontal="right" vertical="center" readingOrder="2"/>
    </xf>
    <xf numFmtId="0" fontId="38" fillId="2" borderId="43" xfId="14" applyFont="1" applyFill="1" applyBorder="1" applyAlignment="1" applyProtection="1">
      <alignment horizontal="right" vertical="center" readingOrder="2"/>
    </xf>
    <xf numFmtId="0" fontId="33" fillId="2" borderId="29" xfId="14" applyFont="1" applyFill="1" applyBorder="1" applyAlignment="1" applyProtection="1">
      <alignment horizontal="right" vertical="center" readingOrder="2"/>
    </xf>
    <xf numFmtId="165" fontId="33" fillId="2" borderId="84" xfId="19" applyNumberFormat="1" applyFont="1" applyFill="1" applyBorder="1" applyAlignment="1" applyProtection="1">
      <alignment horizontal="right" vertical="center" shrinkToFit="1" readingOrder="2"/>
    </xf>
    <xf numFmtId="165" fontId="33" fillId="2" borderId="85" xfId="19" applyNumberFormat="1" applyFont="1" applyFill="1" applyBorder="1" applyAlignment="1" applyProtection="1">
      <alignment horizontal="right" vertical="center" shrinkToFit="1" readingOrder="2"/>
    </xf>
    <xf numFmtId="165" fontId="33" fillId="2" borderId="1" xfId="19" applyNumberFormat="1" applyFont="1" applyFill="1" applyBorder="1" applyAlignment="1" applyProtection="1">
      <alignment horizontal="right" vertical="center" shrinkToFit="1" readingOrder="2"/>
    </xf>
    <xf numFmtId="165" fontId="33" fillId="2" borderId="1" xfId="14" applyNumberFormat="1" applyFont="1" applyFill="1" applyBorder="1" applyAlignment="1" applyProtection="1">
      <alignment horizontal="right" vertical="center" shrinkToFit="1" readingOrder="2"/>
    </xf>
    <xf numFmtId="165" fontId="33" fillId="2" borderId="46" xfId="14" applyNumberFormat="1" applyFont="1" applyFill="1" applyBorder="1" applyAlignment="1" applyProtection="1">
      <alignment horizontal="right" vertical="center" shrinkToFit="1" readingOrder="2"/>
    </xf>
    <xf numFmtId="165" fontId="33" fillId="2" borderId="0" xfId="14" applyNumberFormat="1" applyFont="1" applyFill="1" applyBorder="1" applyAlignment="1" applyProtection="1">
      <alignment horizontal="right" vertical="center" shrinkToFit="1" readingOrder="2"/>
    </xf>
    <xf numFmtId="165" fontId="33" fillId="2" borderId="48" xfId="14" applyNumberFormat="1" applyFont="1" applyFill="1" applyBorder="1" applyAlignment="1" applyProtection="1">
      <alignment horizontal="right" vertical="center" shrinkToFit="1" readingOrder="2"/>
    </xf>
    <xf numFmtId="165" fontId="38" fillId="2" borderId="84" xfId="14" applyNumberFormat="1" applyFont="1" applyFill="1" applyBorder="1" applyAlignment="1" applyProtection="1">
      <alignment horizontal="right" vertical="center" shrinkToFit="1" readingOrder="2"/>
    </xf>
    <xf numFmtId="0" fontId="34" fillId="4" borderId="0" xfId="23" applyFont="1" applyFill="1" applyAlignment="1" applyProtection="1">
      <alignment horizontal="right" vertical="center" readingOrder="2"/>
    </xf>
    <xf numFmtId="0" fontId="56" fillId="4" borderId="0" xfId="23" applyFont="1" applyFill="1" applyAlignment="1" applyProtection="1">
      <alignment horizontal="right" vertical="center" readingOrder="2"/>
    </xf>
    <xf numFmtId="0" fontId="34" fillId="2" borderId="2" xfId="23" applyFont="1" applyFill="1" applyBorder="1" applyAlignment="1" applyProtection="1">
      <alignment horizontal="right" vertical="center" readingOrder="2"/>
    </xf>
    <xf numFmtId="0" fontId="34" fillId="2" borderId="0" xfId="23" applyFont="1" applyFill="1" applyAlignment="1" applyProtection="1">
      <alignment horizontal="right" vertical="center" readingOrder="2"/>
    </xf>
    <xf numFmtId="165" fontId="43" fillId="3" borderId="0" xfId="23" applyNumberFormat="1" applyFont="1" applyFill="1" applyAlignment="1" applyProtection="1">
      <alignment horizontal="right" vertical="center" readingOrder="2"/>
    </xf>
    <xf numFmtId="0" fontId="88" fillId="3" borderId="0" xfId="14" applyFont="1" applyFill="1" applyAlignment="1" applyProtection="1">
      <alignment horizontal="right" vertical="center" readingOrder="2"/>
    </xf>
    <xf numFmtId="165" fontId="18" fillId="3" borderId="0" xfId="23" applyNumberFormat="1" applyFont="1" applyFill="1" applyAlignment="1" applyProtection="1">
      <alignment horizontal="right" vertical="center" readingOrder="2"/>
    </xf>
    <xf numFmtId="168" fontId="56" fillId="2" borderId="2" xfId="23" applyNumberFormat="1" applyFont="1" applyFill="1" applyBorder="1" applyAlignment="1" applyProtection="1">
      <alignment horizontal="right" vertical="center" readingOrder="2"/>
    </xf>
    <xf numFmtId="0" fontId="34" fillId="3" borderId="0" xfId="23" applyFont="1" applyFill="1" applyAlignment="1" applyProtection="1">
      <alignment horizontal="right" vertical="center" readingOrder="2"/>
    </xf>
    <xf numFmtId="165" fontId="37" fillId="5" borderId="8" xfId="23" applyNumberFormat="1" applyFont="1" applyFill="1" applyBorder="1" applyAlignment="1" applyProtection="1">
      <alignment horizontal="right" vertical="center" readingOrder="2"/>
    </xf>
    <xf numFmtId="165" fontId="37" fillId="5" borderId="0" xfId="23" applyNumberFormat="1" applyFont="1" applyFill="1" applyBorder="1" applyAlignment="1" applyProtection="1">
      <alignment horizontal="right" vertical="center" wrapText="1" readingOrder="2"/>
    </xf>
    <xf numFmtId="165" fontId="51" fillId="6" borderId="8" xfId="23" applyNumberFormat="1" applyFont="1" applyFill="1" applyBorder="1" applyAlignment="1" applyProtection="1">
      <alignment horizontal="right" vertical="center" readingOrder="2"/>
    </xf>
    <xf numFmtId="165" fontId="37" fillId="6" borderId="0" xfId="23" applyNumberFormat="1" applyFont="1" applyFill="1" applyBorder="1" applyAlignment="1" applyProtection="1">
      <alignment horizontal="right" vertical="center" wrapText="1" readingOrder="2"/>
    </xf>
    <xf numFmtId="165" fontId="34" fillId="6" borderId="8" xfId="23" applyNumberFormat="1" applyFont="1" applyFill="1" applyBorder="1" applyAlignment="1" applyProtection="1">
      <alignment horizontal="right" vertical="center" readingOrder="2"/>
    </xf>
    <xf numFmtId="37" fontId="34" fillId="6" borderId="0" xfId="23" applyNumberFormat="1" applyFont="1" applyFill="1" applyBorder="1" applyAlignment="1" applyProtection="1">
      <alignment horizontal="right" vertical="center" shrinkToFit="1" readingOrder="2"/>
    </xf>
    <xf numFmtId="165" fontId="34" fillId="3" borderId="0" xfId="23" applyNumberFormat="1" applyFont="1" applyFill="1" applyAlignment="1" applyProtection="1">
      <alignment horizontal="right" vertical="center" readingOrder="2"/>
    </xf>
    <xf numFmtId="165" fontId="34" fillId="2" borderId="2" xfId="23" applyNumberFormat="1" applyFont="1" applyFill="1" applyBorder="1" applyAlignment="1" applyProtection="1">
      <alignment horizontal="right" vertical="center" readingOrder="2"/>
    </xf>
    <xf numFmtId="165" fontId="34" fillId="2" borderId="0" xfId="23" applyNumberFormat="1" applyFont="1" applyFill="1" applyAlignment="1" applyProtection="1">
      <alignment horizontal="right" vertical="center" readingOrder="2"/>
    </xf>
    <xf numFmtId="37" fontId="34" fillId="2" borderId="2" xfId="23" applyNumberFormat="1" applyFont="1" applyFill="1" applyBorder="1" applyAlignment="1" applyProtection="1">
      <alignment horizontal="right" vertical="center" readingOrder="2"/>
    </xf>
    <xf numFmtId="165" fontId="34" fillId="6" borderId="0" xfId="23" applyNumberFormat="1" applyFont="1" applyFill="1" applyBorder="1" applyAlignment="1" applyProtection="1">
      <alignment horizontal="right" vertical="center" shrinkToFit="1" readingOrder="2"/>
    </xf>
    <xf numFmtId="0" fontId="34" fillId="6" borderId="37" xfId="23" applyFont="1" applyFill="1" applyBorder="1" applyAlignment="1" applyProtection="1">
      <alignment horizontal="right" vertical="center" readingOrder="2"/>
    </xf>
    <xf numFmtId="0" fontId="34" fillId="6" borderId="3" xfId="23" applyFont="1" applyFill="1" applyBorder="1" applyAlignment="1" applyProtection="1">
      <alignment horizontal="right" vertical="center" readingOrder="2"/>
    </xf>
    <xf numFmtId="0" fontId="34" fillId="6" borderId="3" xfId="23" applyFont="1" applyFill="1" applyBorder="1" applyAlignment="1" applyProtection="1">
      <alignment horizontal="right" vertical="center" wrapText="1" readingOrder="2"/>
    </xf>
    <xf numFmtId="0" fontId="34" fillId="3" borderId="0" xfId="14" applyFont="1" applyFill="1" applyAlignment="1" applyProtection="1">
      <alignment horizontal="right" vertical="center" wrapText="1" readingOrder="2"/>
    </xf>
    <xf numFmtId="0" fontId="34" fillId="2" borderId="25" xfId="23" applyFont="1" applyFill="1" applyBorder="1" applyAlignment="1" applyProtection="1">
      <alignment horizontal="right" vertical="center" readingOrder="2"/>
    </xf>
    <xf numFmtId="0" fontId="34" fillId="2" borderId="25" xfId="14" applyFont="1" applyFill="1" applyBorder="1" applyAlignment="1" applyProtection="1">
      <alignment horizontal="right" vertical="center" wrapText="1" readingOrder="2"/>
    </xf>
    <xf numFmtId="0" fontId="34" fillId="2" borderId="0" xfId="14" applyFont="1" applyFill="1" applyAlignment="1" applyProtection="1">
      <alignment horizontal="right" vertical="center" wrapText="1" readingOrder="2"/>
    </xf>
    <xf numFmtId="0" fontId="34" fillId="2" borderId="0" xfId="23" applyFont="1" applyFill="1" applyAlignment="1" applyProtection="1">
      <alignment horizontal="right" vertical="center" wrapText="1" readingOrder="2"/>
    </xf>
    <xf numFmtId="0" fontId="89" fillId="2" borderId="0" xfId="23" applyNumberFormat="1" applyFont="1" applyFill="1" applyBorder="1" applyAlignment="1" applyProtection="1">
      <alignment horizontal="right" vertical="center" readingOrder="2"/>
    </xf>
    <xf numFmtId="168" fontId="89" fillId="2" borderId="0" xfId="23" applyNumberFormat="1" applyFont="1" applyFill="1" applyBorder="1" applyAlignment="1" applyProtection="1">
      <alignment horizontal="right" vertical="center" readingOrder="2"/>
    </xf>
    <xf numFmtId="165" fontId="89" fillId="2" borderId="0" xfId="23" applyNumberFormat="1" applyFont="1" applyFill="1" applyBorder="1" applyAlignment="1" applyProtection="1">
      <alignment horizontal="right" vertical="center" wrapText="1" readingOrder="2"/>
    </xf>
    <xf numFmtId="165" fontId="90" fillId="2" borderId="0" xfId="23" applyNumberFormat="1" applyFont="1" applyFill="1" applyBorder="1" applyAlignment="1" applyProtection="1">
      <alignment horizontal="right" vertical="center" readingOrder="2"/>
    </xf>
    <xf numFmtId="0" fontId="91" fillId="2" borderId="0" xfId="23" applyNumberFormat="1" applyFont="1" applyFill="1" applyBorder="1" applyAlignment="1" applyProtection="1">
      <alignment horizontal="right" vertical="center" shrinkToFit="1" readingOrder="2"/>
    </xf>
    <xf numFmtId="165" fontId="91" fillId="2" borderId="0" xfId="23" applyNumberFormat="1" applyFont="1" applyFill="1" applyBorder="1" applyAlignment="1" applyProtection="1">
      <alignment horizontal="right" vertical="center" shrinkToFit="1" readingOrder="2"/>
    </xf>
    <xf numFmtId="37" fontId="91" fillId="2" borderId="0" xfId="23" applyNumberFormat="1" applyFont="1" applyFill="1" applyBorder="1" applyAlignment="1" applyProtection="1">
      <alignment horizontal="right" vertical="center" shrinkToFit="1" readingOrder="2"/>
    </xf>
    <xf numFmtId="0" fontId="90" fillId="2" borderId="0" xfId="23" applyNumberFormat="1" applyFont="1" applyFill="1" applyBorder="1" applyAlignment="1" applyProtection="1">
      <alignment horizontal="right" vertical="center" shrinkToFit="1" readingOrder="2"/>
    </xf>
    <xf numFmtId="0" fontId="89" fillId="2" borderId="0" xfId="23" applyNumberFormat="1" applyFont="1" applyFill="1" applyBorder="1" applyAlignment="1" applyProtection="1">
      <alignment horizontal="right" vertical="center" shrinkToFit="1" readingOrder="2"/>
    </xf>
    <xf numFmtId="37" fontId="91" fillId="2" borderId="0" xfId="19" applyNumberFormat="1" applyFont="1" applyFill="1" applyBorder="1" applyAlignment="1" applyProtection="1">
      <alignment horizontal="right" vertical="center" shrinkToFit="1" readingOrder="2"/>
    </xf>
    <xf numFmtId="169" fontId="89" fillId="2" borderId="0" xfId="23" applyNumberFormat="1" applyFont="1" applyFill="1" applyBorder="1" applyAlignment="1" applyProtection="1">
      <alignment horizontal="right" vertical="center" shrinkToFit="1" readingOrder="2"/>
    </xf>
    <xf numFmtId="165" fontId="89" fillId="2" borderId="0" xfId="23" applyNumberFormat="1" applyFont="1" applyFill="1" applyBorder="1" applyAlignment="1" applyProtection="1">
      <alignment horizontal="right" vertical="center" shrinkToFit="1" readingOrder="2"/>
    </xf>
    <xf numFmtId="0" fontId="34" fillId="4" borderId="0" xfId="28" applyFont="1" applyFill="1" applyAlignment="1">
      <alignment horizontal="right" vertical="center" readingOrder="2"/>
    </xf>
    <xf numFmtId="165" fontId="59" fillId="4" borderId="0" xfId="23" applyNumberFormat="1" applyFont="1" applyFill="1" applyAlignment="1">
      <alignment horizontal="right" vertical="center" readingOrder="2"/>
    </xf>
    <xf numFmtId="165" fontId="92" fillId="4" borderId="0" xfId="23" applyNumberFormat="1" applyFont="1" applyFill="1" applyBorder="1" applyAlignment="1">
      <alignment horizontal="right" vertical="center" readingOrder="2"/>
    </xf>
    <xf numFmtId="165" fontId="92" fillId="4" borderId="4" xfId="23" applyNumberFormat="1" applyFont="1" applyFill="1" applyBorder="1" applyAlignment="1">
      <alignment horizontal="right" vertical="center" readingOrder="2"/>
    </xf>
    <xf numFmtId="0" fontId="34" fillId="2" borderId="2" xfId="28" applyFont="1" applyFill="1" applyBorder="1" applyAlignment="1">
      <alignment horizontal="right" vertical="center" readingOrder="2"/>
    </xf>
    <xf numFmtId="0" fontId="34" fillId="2" borderId="0" xfId="28" applyFont="1" applyFill="1" applyAlignment="1">
      <alignment horizontal="right" vertical="center" readingOrder="2"/>
    </xf>
    <xf numFmtId="0" fontId="59" fillId="4" borderId="0" xfId="28" applyFont="1" applyFill="1" applyAlignment="1">
      <alignment horizontal="right" vertical="center" readingOrder="2"/>
    </xf>
    <xf numFmtId="0" fontId="59" fillId="3" borderId="0" xfId="28" applyFont="1" applyFill="1" applyAlignment="1">
      <alignment horizontal="right" vertical="center" readingOrder="2"/>
    </xf>
    <xf numFmtId="0" fontId="57" fillId="3" borderId="0" xfId="28" applyFont="1" applyFill="1" applyAlignment="1">
      <alignment horizontal="right" vertical="center" readingOrder="2"/>
    </xf>
    <xf numFmtId="0" fontId="93" fillId="3" borderId="0" xfId="14" applyFont="1" applyFill="1" applyAlignment="1">
      <alignment horizontal="right" vertical="center" readingOrder="2"/>
    </xf>
    <xf numFmtId="0" fontId="34" fillId="3" borderId="0" xfId="28" applyFont="1" applyFill="1" applyBorder="1" applyAlignment="1">
      <alignment horizontal="right" vertical="center" readingOrder="2"/>
    </xf>
    <xf numFmtId="165" fontId="67" fillId="5" borderId="6" xfId="28" applyNumberFormat="1" applyFont="1" applyFill="1" applyBorder="1" applyAlignment="1">
      <alignment horizontal="right" vertical="center" wrapText="1" readingOrder="2"/>
    </xf>
    <xf numFmtId="0" fontId="34" fillId="3" borderId="0" xfId="28" applyFont="1" applyFill="1" applyAlignment="1">
      <alignment horizontal="right" vertical="center" readingOrder="2"/>
    </xf>
    <xf numFmtId="165" fontId="34" fillId="6" borderId="8" xfId="28" applyNumberFormat="1" applyFont="1" applyFill="1" applyBorder="1" applyAlignment="1">
      <alignment horizontal="right" vertical="center" readingOrder="2"/>
    </xf>
    <xf numFmtId="0" fontId="34" fillId="6" borderId="0" xfId="28" applyFont="1" applyFill="1" applyBorder="1" applyAlignment="1">
      <alignment horizontal="right" vertical="center" shrinkToFit="1" readingOrder="2"/>
    </xf>
    <xf numFmtId="0" fontId="34" fillId="6" borderId="37" xfId="28" applyFont="1" applyFill="1" applyBorder="1" applyAlignment="1">
      <alignment horizontal="right" vertical="center" readingOrder="2"/>
    </xf>
    <xf numFmtId="165" fontId="34" fillId="3" borderId="0" xfId="28" applyNumberFormat="1" applyFont="1" applyFill="1" applyAlignment="1">
      <alignment horizontal="right" vertical="center" readingOrder="2"/>
    </xf>
    <xf numFmtId="165" fontId="34" fillId="3" borderId="0" xfId="28" applyNumberFormat="1" applyFont="1" applyFill="1" applyAlignment="1">
      <alignment horizontal="right" vertical="center" wrapText="1" readingOrder="2"/>
    </xf>
    <xf numFmtId="165" fontId="34" fillId="3" borderId="0" xfId="28" applyNumberFormat="1" applyFont="1" applyFill="1" applyBorder="1" applyAlignment="1">
      <alignment horizontal="right" vertical="center" readingOrder="2"/>
    </xf>
    <xf numFmtId="0" fontId="34" fillId="3" borderId="0" xfId="14" applyFont="1" applyFill="1" applyAlignment="1">
      <alignment horizontal="right" vertical="center" readingOrder="2"/>
    </xf>
    <xf numFmtId="0" fontId="40" fillId="3" borderId="0" xfId="28" applyFont="1" applyFill="1" applyAlignment="1">
      <alignment horizontal="right" vertical="center" readingOrder="2"/>
    </xf>
    <xf numFmtId="165" fontId="34" fillId="3" borderId="0" xfId="14" applyNumberFormat="1" applyFont="1" applyFill="1" applyAlignment="1">
      <alignment horizontal="right" vertical="center" readingOrder="2"/>
    </xf>
    <xf numFmtId="165" fontId="37" fillId="5" borderId="5" xfId="28" applyNumberFormat="1" applyFont="1" applyFill="1" applyBorder="1" applyAlignment="1">
      <alignment horizontal="right" vertical="center" readingOrder="2"/>
    </xf>
    <xf numFmtId="1" fontId="67" fillId="5" borderId="6" xfId="28" applyNumberFormat="1" applyFont="1" applyFill="1" applyBorder="1" applyAlignment="1">
      <alignment horizontal="right" vertical="center" wrapText="1" readingOrder="2"/>
    </xf>
    <xf numFmtId="165" fontId="34" fillId="6" borderId="0" xfId="28" applyNumberFormat="1" applyFont="1" applyFill="1" applyBorder="1" applyAlignment="1">
      <alignment horizontal="right" vertical="center" readingOrder="2"/>
    </xf>
    <xf numFmtId="165" fontId="34" fillId="6" borderId="9" xfId="28" applyNumberFormat="1" applyFont="1" applyFill="1" applyBorder="1" applyAlignment="1">
      <alignment horizontal="right" vertical="center" readingOrder="2"/>
    </xf>
    <xf numFmtId="165" fontId="34" fillId="6" borderId="8" xfId="23" applyNumberFormat="1" applyFont="1" applyFill="1" applyBorder="1" applyAlignment="1">
      <alignment horizontal="right" vertical="center" readingOrder="2"/>
    </xf>
    <xf numFmtId="165" fontId="34" fillId="6" borderId="0" xfId="28" applyNumberFormat="1" applyFont="1" applyFill="1" applyBorder="1" applyAlignment="1">
      <alignment horizontal="right" vertical="center" shrinkToFit="1" readingOrder="2"/>
    </xf>
    <xf numFmtId="165" fontId="34" fillId="6" borderId="37" xfId="28" applyNumberFormat="1" applyFont="1" applyFill="1" applyBorder="1" applyAlignment="1">
      <alignment horizontal="right" vertical="center" readingOrder="2"/>
    </xf>
    <xf numFmtId="165" fontId="34" fillId="6" borderId="3" xfId="28" applyNumberFormat="1" applyFont="1" applyFill="1" applyBorder="1" applyAlignment="1">
      <alignment horizontal="right" vertical="center" shrinkToFit="1" readingOrder="2"/>
    </xf>
    <xf numFmtId="165" fontId="40" fillId="6" borderId="21" xfId="28" applyNumberFormat="1" applyFont="1" applyFill="1" applyBorder="1" applyAlignment="1">
      <alignment horizontal="right" vertical="center" shrinkToFit="1" readingOrder="2"/>
    </xf>
    <xf numFmtId="165" fontId="34" fillId="3" borderId="0" xfId="28" applyNumberFormat="1" applyFont="1" applyFill="1" applyAlignment="1">
      <alignment horizontal="right" vertical="center" shrinkToFit="1" readingOrder="2"/>
    </xf>
    <xf numFmtId="165" fontId="40" fillId="3" borderId="0" xfId="28" applyNumberFormat="1" applyFont="1" applyFill="1" applyBorder="1" applyAlignment="1">
      <alignment horizontal="right" vertical="center" shrinkToFit="1" readingOrder="2"/>
    </xf>
    <xf numFmtId="165" fontId="28" fillId="5" borderId="5" xfId="28" applyNumberFormat="1" applyFont="1" applyFill="1" applyBorder="1" applyAlignment="1">
      <alignment horizontal="right" vertical="center" readingOrder="2"/>
    </xf>
    <xf numFmtId="1" fontId="37" fillId="5" borderId="6" xfId="8" applyNumberFormat="1" applyFont="1" applyFill="1" applyBorder="1" applyAlignment="1">
      <alignment horizontal="right" vertical="center" shrinkToFit="1" readingOrder="2"/>
    </xf>
    <xf numFmtId="165" fontId="67" fillId="5" borderId="6" xfId="28" applyNumberFormat="1" applyFont="1" applyFill="1" applyBorder="1" applyAlignment="1">
      <alignment horizontal="right" vertical="center" shrinkToFit="1" readingOrder="2"/>
    </xf>
    <xf numFmtId="1" fontId="37" fillId="5" borderId="6" xfId="28" applyNumberFormat="1" applyFont="1" applyFill="1" applyBorder="1" applyAlignment="1">
      <alignment horizontal="right" vertical="center" shrinkToFit="1" readingOrder="2"/>
    </xf>
    <xf numFmtId="165" fontId="34" fillId="6" borderId="9" xfId="28" applyNumberFormat="1" applyFont="1" applyFill="1" applyBorder="1" applyAlignment="1">
      <alignment horizontal="right" vertical="center" shrinkToFit="1" readingOrder="2"/>
    </xf>
    <xf numFmtId="165" fontId="34" fillId="7" borderId="55" xfId="23" applyNumberFormat="1" applyFont="1" applyFill="1" applyBorder="1" applyAlignment="1">
      <alignment horizontal="right" vertical="center" shrinkToFit="1" readingOrder="2"/>
    </xf>
    <xf numFmtId="165" fontId="34" fillId="7" borderId="57" xfId="23" applyNumberFormat="1" applyFont="1" applyFill="1" applyBorder="1" applyAlignment="1">
      <alignment horizontal="right" vertical="center" shrinkToFit="1" readingOrder="2"/>
    </xf>
    <xf numFmtId="0" fontId="34" fillId="6" borderId="3" xfId="28" applyFont="1" applyFill="1" applyBorder="1" applyAlignment="1">
      <alignment horizontal="right" vertical="center" readingOrder="2"/>
    </xf>
    <xf numFmtId="169" fontId="40" fillId="6" borderId="21" xfId="28" applyNumberFormat="1" applyFont="1" applyFill="1" applyBorder="1" applyAlignment="1">
      <alignment horizontal="right" vertical="center" readingOrder="2"/>
    </xf>
    <xf numFmtId="0" fontId="34" fillId="3" borderId="22" xfId="28" applyFont="1" applyFill="1" applyBorder="1" applyAlignment="1">
      <alignment horizontal="right" vertical="center" readingOrder="2"/>
    </xf>
    <xf numFmtId="165" fontId="34" fillId="3" borderId="0" xfId="28" applyNumberFormat="1" applyFont="1" applyFill="1" applyBorder="1" applyAlignment="1">
      <alignment horizontal="right" vertical="center" wrapText="1" readingOrder="2"/>
    </xf>
    <xf numFmtId="0" fontId="34" fillId="2" borderId="25" xfId="28" applyFont="1" applyFill="1" applyBorder="1" applyAlignment="1">
      <alignment horizontal="right" vertical="center" readingOrder="2"/>
    </xf>
    <xf numFmtId="165" fontId="34" fillId="2" borderId="25" xfId="28" applyNumberFormat="1" applyFont="1" applyFill="1" applyBorder="1" applyAlignment="1">
      <alignment horizontal="right" vertical="center" readingOrder="2"/>
    </xf>
    <xf numFmtId="165" fontId="34" fillId="2" borderId="25" xfId="28" applyNumberFormat="1" applyFont="1" applyFill="1" applyBorder="1" applyAlignment="1">
      <alignment horizontal="right" vertical="center" wrapText="1" readingOrder="2"/>
    </xf>
    <xf numFmtId="0" fontId="34" fillId="2" borderId="0" xfId="28" applyFont="1" applyFill="1" applyBorder="1" applyAlignment="1">
      <alignment horizontal="right" vertical="center" readingOrder="2"/>
    </xf>
    <xf numFmtId="165" fontId="34" fillId="2" borderId="0" xfId="28" applyNumberFormat="1" applyFont="1" applyFill="1" applyBorder="1" applyAlignment="1">
      <alignment horizontal="right" vertical="center" readingOrder="2"/>
    </xf>
    <xf numFmtId="165" fontId="34" fillId="2" borderId="0" xfId="28" applyNumberFormat="1" applyFont="1" applyFill="1" applyBorder="1" applyAlignment="1">
      <alignment horizontal="right" vertical="center" wrapText="1" readingOrder="2"/>
    </xf>
    <xf numFmtId="0" fontId="34" fillId="2" borderId="0" xfId="14" applyFont="1" applyFill="1" applyAlignment="1">
      <alignment horizontal="right" vertical="center" readingOrder="2"/>
    </xf>
    <xf numFmtId="165" fontId="34" fillId="2" borderId="0" xfId="14" applyNumberFormat="1" applyFont="1" applyFill="1" applyAlignment="1">
      <alignment horizontal="right" vertical="center" readingOrder="2"/>
    </xf>
    <xf numFmtId="165" fontId="34" fillId="2" borderId="0" xfId="14" applyNumberFormat="1" applyFont="1" applyFill="1" applyAlignment="1">
      <alignment horizontal="right" vertical="center" wrapText="1" readingOrder="2"/>
    </xf>
    <xf numFmtId="165" fontId="34" fillId="2" borderId="0" xfId="28" applyNumberFormat="1" applyFont="1" applyFill="1" applyAlignment="1">
      <alignment horizontal="right" vertical="center" wrapText="1" readingOrder="2"/>
    </xf>
    <xf numFmtId="0" fontId="40" fillId="2" borderId="0" xfId="28" applyFont="1" applyFill="1" applyBorder="1" applyAlignment="1">
      <alignment horizontal="right" vertical="center" readingOrder="2"/>
    </xf>
    <xf numFmtId="1" fontId="51" fillId="2" borderId="0" xfId="28" applyNumberFormat="1" applyFont="1" applyFill="1" applyBorder="1" applyAlignment="1">
      <alignment horizontal="right" vertical="center" readingOrder="2"/>
    </xf>
    <xf numFmtId="165" fontId="32" fillId="2" borderId="0" xfId="28" applyNumberFormat="1" applyFont="1" applyFill="1" applyBorder="1" applyAlignment="1">
      <alignment horizontal="right" vertical="center" wrapText="1" readingOrder="2"/>
    </xf>
    <xf numFmtId="165" fontId="34" fillId="2" borderId="0" xfId="28" applyNumberFormat="1" applyFont="1" applyFill="1" applyBorder="1" applyAlignment="1">
      <alignment horizontal="right" vertical="center" shrinkToFit="1" readingOrder="2"/>
    </xf>
    <xf numFmtId="165" fontId="34" fillId="2" borderId="0" xfId="14" applyNumberFormat="1" applyFont="1" applyFill="1" applyBorder="1" applyAlignment="1">
      <alignment horizontal="right" vertical="center" readingOrder="2"/>
    </xf>
    <xf numFmtId="0" fontId="51" fillId="2" borderId="0" xfId="28" applyNumberFormat="1" applyFont="1" applyFill="1" applyBorder="1" applyAlignment="1">
      <alignment horizontal="right" vertical="center" readingOrder="2"/>
    </xf>
    <xf numFmtId="1" fontId="51" fillId="2" borderId="0" xfId="8" applyNumberFormat="1" applyFont="1" applyFill="1" applyBorder="1" applyAlignment="1">
      <alignment horizontal="right" vertical="center" readingOrder="2"/>
    </xf>
    <xf numFmtId="1" fontId="32" fillId="2" borderId="0" xfId="28" applyNumberFormat="1" applyFont="1" applyFill="1" applyBorder="1" applyAlignment="1">
      <alignment horizontal="right" vertical="center" wrapText="1" readingOrder="2"/>
    </xf>
    <xf numFmtId="165" fontId="51" fillId="2" borderId="0" xfId="28" applyNumberFormat="1" applyFont="1" applyFill="1" applyBorder="1" applyAlignment="1">
      <alignment horizontal="right" vertical="center" readingOrder="2"/>
    </xf>
    <xf numFmtId="0" fontId="34" fillId="2" borderId="0" xfId="28" applyNumberFormat="1" applyFont="1" applyFill="1" applyBorder="1" applyAlignment="1">
      <alignment horizontal="right" vertical="center" shrinkToFit="1" readingOrder="2"/>
    </xf>
    <xf numFmtId="0" fontId="34" fillId="2" borderId="0" xfId="23" applyNumberFormat="1" applyFont="1" applyFill="1" applyBorder="1" applyAlignment="1">
      <alignment horizontal="right" vertical="center" shrinkToFit="1" readingOrder="2"/>
    </xf>
    <xf numFmtId="184" fontId="34" fillId="2" borderId="0" xfId="23" applyNumberFormat="1" applyFont="1" applyFill="1" applyBorder="1" applyAlignment="1">
      <alignment horizontal="right" vertical="center" shrinkToFit="1" readingOrder="2"/>
    </xf>
    <xf numFmtId="165" fontId="40" fillId="2" borderId="0" xfId="28" applyNumberFormat="1" applyFont="1" applyFill="1" applyBorder="1" applyAlignment="1">
      <alignment horizontal="right" vertical="center" shrinkToFit="1" readingOrder="2"/>
    </xf>
    <xf numFmtId="165" fontId="32" fillId="2" borderId="0" xfId="28" applyNumberFormat="1" applyFont="1" applyFill="1" applyBorder="1" applyAlignment="1">
      <alignment horizontal="right" vertical="center" shrinkToFit="1" readingOrder="2"/>
    </xf>
    <xf numFmtId="165" fontId="35" fillId="2" borderId="0" xfId="28" applyNumberFormat="1" applyFont="1" applyFill="1" applyBorder="1" applyAlignment="1">
      <alignment horizontal="right" vertical="center" shrinkToFit="1" readingOrder="2"/>
    </xf>
    <xf numFmtId="165" fontId="32" fillId="2" borderId="0" xfId="23" applyNumberFormat="1" applyFont="1" applyFill="1" applyBorder="1" applyAlignment="1">
      <alignment horizontal="right" vertical="center" shrinkToFit="1" readingOrder="2"/>
    </xf>
    <xf numFmtId="165" fontId="34" fillId="2" borderId="0" xfId="23" applyNumberFormat="1" applyFont="1" applyFill="1" applyBorder="1" applyAlignment="1">
      <alignment horizontal="right" vertical="center" shrinkToFit="1" readingOrder="2"/>
    </xf>
    <xf numFmtId="165" fontId="34" fillId="2" borderId="0" xfId="28" applyNumberFormat="1" applyFont="1" applyFill="1" applyAlignment="1">
      <alignment horizontal="right" vertical="center" readingOrder="2"/>
    </xf>
    <xf numFmtId="0" fontId="34" fillId="4" borderId="0" xfId="26" applyFont="1" applyFill="1" applyAlignment="1" applyProtection="1">
      <alignment horizontal="right" vertical="center" readingOrder="2"/>
    </xf>
    <xf numFmtId="0" fontId="56" fillId="4" borderId="0" xfId="26" applyFont="1" applyFill="1" applyAlignment="1" applyProtection="1">
      <alignment horizontal="right" vertical="center" readingOrder="2"/>
    </xf>
    <xf numFmtId="0" fontId="34" fillId="4" borderId="0" xfId="26" applyFont="1" applyFill="1" applyBorder="1" applyAlignment="1" applyProtection="1">
      <alignment horizontal="right" vertical="center" readingOrder="2"/>
    </xf>
    <xf numFmtId="0" fontId="34" fillId="2" borderId="2" xfId="26" applyFont="1" applyFill="1" applyBorder="1" applyAlignment="1" applyProtection="1">
      <alignment horizontal="right" vertical="center" readingOrder="2"/>
    </xf>
    <xf numFmtId="0" fontId="34" fillId="2" borderId="0" xfId="26" applyFont="1" applyFill="1" applyAlignment="1" applyProtection="1">
      <alignment horizontal="right" vertical="center" readingOrder="2"/>
    </xf>
    <xf numFmtId="0" fontId="55" fillId="4" borderId="0" xfId="26" applyFont="1" applyFill="1" applyAlignment="1" applyProtection="1">
      <alignment horizontal="right" vertical="center" readingOrder="2"/>
    </xf>
    <xf numFmtId="0" fontId="55" fillId="4" borderId="0" xfId="26" applyFont="1" applyFill="1" applyBorder="1" applyAlignment="1" applyProtection="1">
      <alignment horizontal="right" vertical="center" readingOrder="2"/>
    </xf>
    <xf numFmtId="0" fontId="43" fillId="3" borderId="3" xfId="26" applyNumberFormat="1" applyFont="1" applyFill="1" applyBorder="1" applyAlignment="1" applyProtection="1">
      <alignment horizontal="right" vertical="center" readingOrder="2"/>
    </xf>
    <xf numFmtId="0" fontId="43" fillId="3" borderId="3" xfId="14" applyFont="1" applyFill="1" applyBorder="1" applyAlignment="1" applyProtection="1">
      <alignment horizontal="right" vertical="center" readingOrder="2"/>
    </xf>
    <xf numFmtId="0" fontId="55" fillId="3" borderId="4" xfId="14" applyNumberFormat="1" applyFont="1" applyFill="1" applyBorder="1" applyAlignment="1" applyProtection="1">
      <alignment horizontal="right" vertical="center" readingOrder="2"/>
    </xf>
    <xf numFmtId="0" fontId="68" fillId="3" borderId="0" xfId="14" applyFont="1" applyFill="1" applyBorder="1" applyAlignment="1" applyProtection="1">
      <alignment horizontal="right" vertical="center" readingOrder="2"/>
    </xf>
    <xf numFmtId="0" fontId="68" fillId="5" borderId="53" xfId="26" applyFont="1" applyFill="1" applyBorder="1" applyAlignment="1" applyProtection="1">
      <alignment horizontal="right" vertical="center" readingOrder="2"/>
    </xf>
    <xf numFmtId="0" fontId="68" fillId="5" borderId="86" xfId="26" applyFont="1" applyFill="1" applyBorder="1" applyAlignment="1" applyProtection="1">
      <alignment horizontal="right" vertical="center" readingOrder="2"/>
    </xf>
    <xf numFmtId="0" fontId="68" fillId="3" borderId="0" xfId="26" applyFont="1" applyFill="1" applyBorder="1" applyAlignment="1" applyProtection="1">
      <alignment horizontal="right" vertical="center" readingOrder="2"/>
    </xf>
    <xf numFmtId="0" fontId="34" fillId="5" borderId="8" xfId="26" applyFont="1" applyFill="1" applyBorder="1" applyAlignment="1" applyProtection="1">
      <alignment horizontal="right" vertical="center" readingOrder="2"/>
    </xf>
    <xf numFmtId="0" fontId="34" fillId="5" borderId="87" xfId="26" applyFont="1" applyFill="1" applyBorder="1" applyAlignment="1" applyProtection="1">
      <alignment horizontal="right" vertical="center" readingOrder="2"/>
    </xf>
    <xf numFmtId="0" fontId="34" fillId="3" borderId="0" xfId="26" applyFont="1" applyFill="1" applyBorder="1" applyAlignment="1" applyProtection="1">
      <alignment horizontal="right" vertical="center" readingOrder="2"/>
    </xf>
    <xf numFmtId="0" fontId="34" fillId="6" borderId="88" xfId="26" applyFont="1" applyFill="1" applyBorder="1" applyAlignment="1" applyProtection="1">
      <alignment horizontal="right" vertical="center" readingOrder="2"/>
    </xf>
    <xf numFmtId="0" fontId="34" fillId="6" borderId="88" xfId="26" applyFont="1" applyFill="1" applyBorder="1" applyAlignment="1" applyProtection="1">
      <alignment horizontal="right" vertical="center" wrapText="1" readingOrder="2"/>
    </xf>
    <xf numFmtId="0" fontId="34" fillId="6" borderId="89" xfId="26" applyFont="1" applyFill="1" applyBorder="1" applyAlignment="1" applyProtection="1">
      <alignment horizontal="right" vertical="center" readingOrder="2"/>
    </xf>
    <xf numFmtId="0" fontId="34" fillId="3" borderId="0" xfId="26" applyFont="1" applyFill="1" applyAlignment="1" applyProtection="1">
      <alignment horizontal="right" vertical="center" readingOrder="2"/>
    </xf>
    <xf numFmtId="0" fontId="34" fillId="6" borderId="18" xfId="26" applyFont="1" applyFill="1" applyBorder="1" applyAlignment="1" applyProtection="1">
      <alignment horizontal="right" vertical="center" readingOrder="2"/>
    </xf>
    <xf numFmtId="0" fontId="35" fillId="6" borderId="53" xfId="14" applyFont="1" applyFill="1" applyBorder="1" applyAlignment="1" applyProtection="1">
      <alignment horizontal="right" vertical="center" shrinkToFit="1" readingOrder="2"/>
    </xf>
    <xf numFmtId="0" fontId="35" fillId="6" borderId="38" xfId="14" applyFont="1" applyFill="1" applyBorder="1" applyAlignment="1" applyProtection="1">
      <alignment horizontal="right" vertical="center" shrinkToFit="1" readingOrder="2"/>
    </xf>
    <xf numFmtId="165" fontId="34" fillId="6" borderId="38" xfId="26" applyNumberFormat="1" applyFont="1" applyFill="1" applyBorder="1" applyAlignment="1" applyProtection="1">
      <alignment horizontal="right" vertical="center" readingOrder="2"/>
    </xf>
    <xf numFmtId="167" fontId="34" fillId="6" borderId="38" xfId="26" applyNumberFormat="1" applyFont="1" applyFill="1" applyBorder="1" applyAlignment="1" applyProtection="1">
      <alignment horizontal="right" vertical="center" readingOrder="2"/>
    </xf>
    <xf numFmtId="10" fontId="34" fillId="6" borderId="90" xfId="26" applyNumberFormat="1" applyFont="1" applyFill="1" applyBorder="1" applyAlignment="1" applyProtection="1">
      <alignment horizontal="right" vertical="center" readingOrder="2"/>
    </xf>
    <xf numFmtId="0" fontId="34" fillId="6" borderId="8" xfId="26" applyFont="1" applyFill="1" applyBorder="1" applyAlignment="1" applyProtection="1">
      <alignment horizontal="right" vertical="center" shrinkToFit="1" readingOrder="2"/>
    </xf>
    <xf numFmtId="0" fontId="34" fillId="6" borderId="0" xfId="26" applyFont="1" applyFill="1" applyBorder="1" applyAlignment="1" applyProtection="1">
      <alignment horizontal="right" vertical="center" shrinkToFit="1" readingOrder="2"/>
    </xf>
    <xf numFmtId="165" fontId="34" fillId="7" borderId="69" xfId="26" applyNumberFormat="1" applyFont="1" applyFill="1" applyBorder="1" applyAlignment="1" applyProtection="1">
      <alignment horizontal="right" vertical="center" shrinkToFit="1" readingOrder="2"/>
    </xf>
    <xf numFmtId="167" fontId="34" fillId="7" borderId="69" xfId="26" applyNumberFormat="1" applyFont="1" applyFill="1" applyBorder="1" applyAlignment="1" applyProtection="1">
      <alignment horizontal="right" vertical="center" shrinkToFit="1" readingOrder="2"/>
    </xf>
    <xf numFmtId="165" fontId="34" fillId="7" borderId="71" xfId="26" applyNumberFormat="1" applyFont="1" applyFill="1" applyBorder="1" applyAlignment="1" applyProtection="1">
      <alignment horizontal="right" vertical="center" shrinkToFit="1" readingOrder="2"/>
    </xf>
    <xf numFmtId="167" fontId="34" fillId="7" borderId="71" xfId="26" applyNumberFormat="1" applyFont="1" applyFill="1" applyBorder="1" applyAlignment="1" applyProtection="1">
      <alignment horizontal="right" vertical="center" shrinkToFit="1" readingOrder="2"/>
    </xf>
    <xf numFmtId="0" fontId="34" fillId="6" borderId="0" xfId="26" applyFont="1" applyFill="1" applyBorder="1" applyAlignment="1" applyProtection="1">
      <alignment horizontal="right" vertical="center" shrinkToFit="1" readingOrder="2"/>
      <protection locked="0"/>
    </xf>
    <xf numFmtId="165" fontId="34" fillId="8" borderId="23" xfId="26" applyNumberFormat="1" applyFont="1" applyFill="1" applyBorder="1" applyAlignment="1" applyProtection="1">
      <alignment horizontal="right" vertical="center" shrinkToFit="1" readingOrder="2"/>
      <protection locked="0"/>
    </xf>
    <xf numFmtId="165" fontId="34" fillId="7" borderId="73" xfId="26" applyNumberFormat="1" applyFont="1" applyFill="1" applyBorder="1" applyAlignment="1" applyProtection="1">
      <alignment horizontal="right" vertical="center" shrinkToFit="1" readingOrder="2"/>
    </xf>
    <xf numFmtId="165" fontId="34" fillId="7" borderId="91" xfId="26" applyNumberFormat="1" applyFont="1" applyFill="1" applyBorder="1" applyAlignment="1" applyProtection="1">
      <alignment horizontal="right" vertical="center" shrinkToFit="1" readingOrder="2"/>
    </xf>
    <xf numFmtId="167" fontId="34" fillId="7" borderId="73" xfId="26" applyNumberFormat="1" applyFont="1" applyFill="1" applyBorder="1" applyAlignment="1" applyProtection="1">
      <alignment horizontal="right" vertical="center" shrinkToFit="1" readingOrder="2"/>
    </xf>
    <xf numFmtId="165" fontId="34" fillId="6" borderId="8" xfId="26" applyNumberFormat="1" applyFont="1" applyFill="1" applyBorder="1" applyAlignment="1" applyProtection="1">
      <alignment horizontal="right" vertical="center" shrinkToFit="1" readingOrder="2"/>
    </xf>
    <xf numFmtId="165" fontId="34" fillId="6" borderId="0" xfId="26" applyNumberFormat="1" applyFont="1" applyFill="1" applyBorder="1" applyAlignment="1" applyProtection="1">
      <alignment horizontal="right" vertical="center" shrinkToFit="1" readingOrder="2"/>
    </xf>
    <xf numFmtId="165" fontId="34" fillId="9" borderId="92" xfId="26" applyNumberFormat="1" applyFont="1" applyFill="1" applyBorder="1" applyAlignment="1" applyProtection="1">
      <alignment horizontal="right" vertical="center" shrinkToFit="1" readingOrder="2"/>
    </xf>
    <xf numFmtId="165" fontId="34" fillId="9" borderId="93" xfId="26" applyNumberFormat="1" applyFont="1" applyFill="1" applyBorder="1" applyAlignment="1" applyProtection="1">
      <alignment horizontal="right" vertical="center" shrinkToFit="1" readingOrder="2"/>
    </xf>
    <xf numFmtId="165" fontId="34" fillId="9" borderId="94" xfId="26" applyNumberFormat="1" applyFont="1" applyFill="1" applyBorder="1" applyAlignment="1" applyProtection="1">
      <alignment horizontal="right" vertical="center" shrinkToFit="1" readingOrder="2"/>
    </xf>
    <xf numFmtId="167" fontId="34" fillId="9" borderId="93" xfId="26" applyNumberFormat="1" applyFont="1" applyFill="1" applyBorder="1" applyAlignment="1" applyProtection="1">
      <alignment horizontal="right" vertical="center" shrinkToFit="1" readingOrder="2"/>
    </xf>
    <xf numFmtId="165" fontId="34" fillId="6" borderId="0" xfId="26" applyNumberFormat="1" applyFont="1" applyFill="1" applyBorder="1" applyAlignment="1" applyProtection="1">
      <alignment horizontal="right" vertical="center" readingOrder="2"/>
    </xf>
    <xf numFmtId="167" fontId="34" fillId="6" borderId="0" xfId="26" applyNumberFormat="1" applyFont="1" applyFill="1" applyBorder="1" applyAlignment="1" applyProtection="1">
      <alignment horizontal="right" vertical="center" readingOrder="2"/>
    </xf>
    <xf numFmtId="167" fontId="34" fillId="6" borderId="9" xfId="26" applyNumberFormat="1" applyFont="1" applyFill="1" applyBorder="1" applyAlignment="1" applyProtection="1">
      <alignment horizontal="right" vertical="center" readingOrder="2"/>
    </xf>
    <xf numFmtId="0" fontId="35" fillId="6" borderId="8" xfId="14" applyFont="1" applyFill="1" applyBorder="1" applyAlignment="1" applyProtection="1">
      <alignment horizontal="right" vertical="center" shrinkToFit="1" readingOrder="2"/>
    </xf>
    <xf numFmtId="0" fontId="35" fillId="6" borderId="0" xfId="14" applyFont="1" applyFill="1" applyBorder="1" applyAlignment="1" applyProtection="1">
      <alignment horizontal="right" vertical="center" shrinkToFit="1" readingOrder="2"/>
    </xf>
    <xf numFmtId="165" fontId="34" fillId="8" borderId="68" xfId="26" applyNumberFormat="1" applyFont="1" applyFill="1" applyBorder="1" applyAlignment="1" applyProtection="1">
      <alignment horizontal="right" vertical="center" shrinkToFit="1" readingOrder="2"/>
      <protection locked="0"/>
    </xf>
    <xf numFmtId="165" fontId="34" fillId="8" borderId="70" xfId="26" applyNumberFormat="1" applyFont="1" applyFill="1" applyBorder="1" applyAlignment="1" applyProtection="1">
      <alignment horizontal="right" vertical="center" shrinkToFit="1" readingOrder="2"/>
      <protection locked="0"/>
    </xf>
    <xf numFmtId="0" fontId="40" fillId="3" borderId="0" xfId="26" applyFont="1" applyFill="1" applyAlignment="1" applyProtection="1">
      <alignment horizontal="right" vertical="center" textRotation="180" readingOrder="2"/>
    </xf>
    <xf numFmtId="165" fontId="34" fillId="8" borderId="72" xfId="26" applyNumberFormat="1" applyFont="1" applyFill="1" applyBorder="1" applyAlignment="1" applyProtection="1">
      <alignment horizontal="right" vertical="center" shrinkToFit="1" readingOrder="2"/>
      <protection locked="0"/>
    </xf>
    <xf numFmtId="165" fontId="34" fillId="7" borderId="74" xfId="26" applyNumberFormat="1" applyFont="1" applyFill="1" applyBorder="1" applyAlignment="1" applyProtection="1">
      <alignment horizontal="right" vertical="center" shrinkToFit="1" readingOrder="2"/>
    </xf>
    <xf numFmtId="165" fontId="34" fillId="7" borderId="75" xfId="26" applyNumberFormat="1" applyFont="1" applyFill="1" applyBorder="1" applyAlignment="1" applyProtection="1">
      <alignment horizontal="right" vertical="center" shrinkToFit="1" readingOrder="2"/>
    </xf>
    <xf numFmtId="165" fontId="34" fillId="7" borderId="95" xfId="26" applyNumberFormat="1" applyFont="1" applyFill="1" applyBorder="1" applyAlignment="1" applyProtection="1">
      <alignment horizontal="right" vertical="center" shrinkToFit="1" readingOrder="2"/>
    </xf>
    <xf numFmtId="167" fontId="34" fillId="7" borderId="75" xfId="26" applyNumberFormat="1" applyFont="1" applyFill="1" applyBorder="1" applyAlignment="1" applyProtection="1">
      <alignment horizontal="right" vertical="center" shrinkToFit="1" readingOrder="2"/>
    </xf>
    <xf numFmtId="165" fontId="34" fillId="8" borderId="69" xfId="26" applyNumberFormat="1" applyFont="1" applyFill="1" applyBorder="1" applyAlignment="1" applyProtection="1">
      <alignment horizontal="right" vertical="center" shrinkToFit="1" readingOrder="2"/>
      <protection locked="0"/>
    </xf>
    <xf numFmtId="165" fontId="34" fillId="8" borderId="96" xfId="26" applyNumberFormat="1" applyFont="1" applyFill="1" applyBorder="1" applyAlignment="1" applyProtection="1">
      <alignment horizontal="right" vertical="center" shrinkToFit="1" readingOrder="2"/>
      <protection locked="0"/>
    </xf>
    <xf numFmtId="165" fontId="34" fillId="8" borderId="71" xfId="26" applyNumberFormat="1" applyFont="1" applyFill="1" applyBorder="1" applyAlignment="1" applyProtection="1">
      <alignment horizontal="right" vertical="center" shrinkToFit="1" readingOrder="2"/>
      <protection locked="0"/>
    </xf>
    <xf numFmtId="165" fontId="34" fillId="8" borderId="97" xfId="26" applyNumberFormat="1" applyFont="1" applyFill="1" applyBorder="1" applyAlignment="1" applyProtection="1">
      <alignment horizontal="right" vertical="center" shrinkToFit="1" readingOrder="2"/>
      <protection locked="0"/>
    </xf>
    <xf numFmtId="165" fontId="34" fillId="6" borderId="37" xfId="26" applyNumberFormat="1" applyFont="1" applyFill="1" applyBorder="1" applyAlignment="1" applyProtection="1">
      <alignment horizontal="right" vertical="center" shrinkToFit="1" readingOrder="2"/>
    </xf>
    <xf numFmtId="165" fontId="34" fillId="6" borderId="3" xfId="26" applyNumberFormat="1" applyFont="1" applyFill="1" applyBorder="1" applyAlignment="1" applyProtection="1">
      <alignment horizontal="right" vertical="center" readingOrder="2"/>
    </xf>
    <xf numFmtId="167" fontId="34" fillId="6" borderId="3" xfId="26" applyNumberFormat="1" applyFont="1" applyFill="1" applyBorder="1" applyAlignment="1" applyProtection="1">
      <alignment horizontal="right" vertical="center" readingOrder="2"/>
    </xf>
    <xf numFmtId="167" fontId="34" fillId="6" borderId="21" xfId="26" applyNumberFormat="1" applyFont="1" applyFill="1" applyBorder="1" applyAlignment="1" applyProtection="1">
      <alignment horizontal="right" vertical="center" readingOrder="2"/>
    </xf>
    <xf numFmtId="165" fontId="34" fillId="3" borderId="0" xfId="26" applyNumberFormat="1" applyFont="1" applyFill="1" applyAlignment="1" applyProtection="1">
      <alignment horizontal="right" vertical="center" readingOrder="2"/>
    </xf>
    <xf numFmtId="10" fontId="34" fillId="3" borderId="0" xfId="26" applyNumberFormat="1" applyFont="1" applyFill="1" applyAlignment="1" applyProtection="1">
      <alignment horizontal="right" vertical="center" readingOrder="2"/>
    </xf>
    <xf numFmtId="10" fontId="34" fillId="2" borderId="2" xfId="26" applyNumberFormat="1" applyFont="1" applyFill="1" applyBorder="1" applyAlignment="1" applyProtection="1">
      <alignment horizontal="right" vertical="center" readingOrder="2"/>
    </xf>
    <xf numFmtId="0" fontId="34" fillId="2" borderId="25" xfId="26" applyFont="1" applyFill="1" applyBorder="1" applyAlignment="1" applyProtection="1">
      <alignment horizontal="right" vertical="center" readingOrder="2"/>
    </xf>
    <xf numFmtId="165" fontId="34" fillId="2" borderId="25" xfId="26" applyNumberFormat="1" applyFont="1" applyFill="1" applyBorder="1" applyAlignment="1" applyProtection="1">
      <alignment horizontal="right" vertical="center" readingOrder="2"/>
    </xf>
    <xf numFmtId="10" fontId="34" fillId="2" borderId="25" xfId="26" applyNumberFormat="1" applyFont="1" applyFill="1" applyBorder="1" applyAlignment="1" applyProtection="1">
      <alignment horizontal="right" vertical="center" readingOrder="2"/>
    </xf>
    <xf numFmtId="10" fontId="34" fillId="2" borderId="0" xfId="26" applyNumberFormat="1" applyFont="1" applyFill="1" applyAlignment="1" applyProtection="1">
      <alignment horizontal="right" vertical="center" readingOrder="2"/>
    </xf>
    <xf numFmtId="49" fontId="34" fillId="2" borderId="0" xfId="26" applyNumberFormat="1" applyFont="1" applyFill="1" applyAlignment="1" applyProtection="1">
      <alignment horizontal="right" vertical="center" readingOrder="2"/>
    </xf>
    <xf numFmtId="165" fontId="34" fillId="2" borderId="0" xfId="26" applyNumberFormat="1" applyFont="1" applyFill="1" applyAlignment="1" applyProtection="1">
      <alignment horizontal="right" vertical="center" readingOrder="2"/>
    </xf>
    <xf numFmtId="167" fontId="34" fillId="2" borderId="0" xfId="26" applyNumberFormat="1" applyFont="1" applyFill="1" applyBorder="1" applyAlignment="1" applyProtection="1">
      <alignment horizontal="right" vertical="center" readingOrder="2"/>
    </xf>
    <xf numFmtId="165" fontId="34" fillId="2" borderId="0" xfId="26" applyNumberFormat="1" applyFont="1" applyFill="1" applyBorder="1" applyAlignment="1" applyProtection="1">
      <alignment horizontal="right" vertical="center" readingOrder="2"/>
    </xf>
    <xf numFmtId="0" fontId="34" fillId="2" borderId="0" xfId="26" applyFont="1" applyFill="1" applyBorder="1" applyAlignment="1" applyProtection="1">
      <alignment horizontal="right" vertical="center" readingOrder="2"/>
    </xf>
    <xf numFmtId="0" fontId="34" fillId="2" borderId="44" xfId="26" applyFont="1" applyFill="1" applyBorder="1" applyAlignment="1" applyProtection="1">
      <alignment horizontal="right" vertical="center" wrapText="1" readingOrder="2"/>
    </xf>
    <xf numFmtId="0" fontId="34" fillId="2" borderId="44" xfId="26" applyFont="1" applyFill="1" applyBorder="1" applyAlignment="1" applyProtection="1">
      <alignment horizontal="right" vertical="center" readingOrder="2"/>
    </xf>
    <xf numFmtId="49" fontId="34" fillId="2" borderId="44" xfId="26" applyNumberFormat="1" applyFont="1" applyFill="1" applyBorder="1" applyAlignment="1" applyProtection="1">
      <alignment horizontal="right" vertical="center" readingOrder="2"/>
    </xf>
    <xf numFmtId="0" fontId="34" fillId="2" borderId="46" xfId="14" applyFont="1" applyFill="1" applyBorder="1" applyAlignment="1" applyProtection="1">
      <alignment horizontal="right" vertical="center" readingOrder="2"/>
    </xf>
    <xf numFmtId="0" fontId="34" fillId="2" borderId="46" xfId="26" applyFont="1" applyFill="1" applyBorder="1" applyAlignment="1" applyProtection="1">
      <alignment horizontal="right" vertical="center" readingOrder="2"/>
    </xf>
    <xf numFmtId="0" fontId="34" fillId="2" borderId="1" xfId="26" applyFont="1" applyFill="1" applyBorder="1" applyAlignment="1" applyProtection="1">
      <alignment horizontal="right" vertical="center" shrinkToFit="1" readingOrder="2"/>
    </xf>
    <xf numFmtId="0" fontId="34" fillId="2" borderId="1" xfId="26" applyFont="1" applyFill="1" applyBorder="1" applyAlignment="1" applyProtection="1">
      <alignment horizontal="right" vertical="center" readingOrder="2"/>
    </xf>
    <xf numFmtId="0" fontId="35" fillId="2" borderId="42" xfId="14" applyNumberFormat="1" applyFont="1" applyFill="1" applyBorder="1" applyAlignment="1" applyProtection="1">
      <alignment horizontal="right" vertical="center" shrinkToFit="1" readingOrder="2"/>
    </xf>
    <xf numFmtId="10" fontId="34" fillId="2" borderId="9" xfId="26" applyNumberFormat="1" applyFont="1" applyFill="1" applyBorder="1" applyAlignment="1" applyProtection="1">
      <alignment horizontal="right" vertical="center" readingOrder="2"/>
    </xf>
    <xf numFmtId="0" fontId="34" fillId="2" borderId="29" xfId="26" applyNumberFormat="1" applyFont="1" applyFill="1" applyBorder="1" applyAlignment="1" applyProtection="1">
      <alignment horizontal="right" vertical="center" shrinkToFit="1" readingOrder="2"/>
    </xf>
    <xf numFmtId="0" fontId="34" fillId="2" borderId="48" xfId="26" applyNumberFormat="1" applyFont="1" applyFill="1" applyBorder="1" applyAlignment="1" applyProtection="1">
      <alignment horizontal="right" vertical="center" shrinkToFit="1" readingOrder="2"/>
    </xf>
    <xf numFmtId="165" fontId="34" fillId="2" borderId="1" xfId="26" applyNumberFormat="1" applyFont="1" applyFill="1" applyBorder="1" applyAlignment="1" applyProtection="1">
      <alignment horizontal="right" vertical="center" shrinkToFit="1" readingOrder="2"/>
    </xf>
    <xf numFmtId="167" fontId="34" fillId="2" borderId="1" xfId="26" applyNumberFormat="1" applyFont="1" applyFill="1" applyBorder="1" applyAlignment="1" applyProtection="1">
      <alignment horizontal="right" vertical="center" shrinkToFit="1" readingOrder="2"/>
    </xf>
    <xf numFmtId="165" fontId="34" fillId="2" borderId="98" xfId="26" applyNumberFormat="1" applyFont="1" applyFill="1" applyBorder="1" applyAlignment="1" applyProtection="1">
      <alignment horizontal="right" vertical="center" shrinkToFit="1" readingOrder="2"/>
    </xf>
    <xf numFmtId="167" fontId="34" fillId="2" borderId="98" xfId="26" applyNumberFormat="1" applyFont="1" applyFill="1" applyBorder="1" applyAlignment="1" applyProtection="1">
      <alignment horizontal="right" vertical="center" shrinkToFit="1" readingOrder="2"/>
    </xf>
    <xf numFmtId="0" fontId="34" fillId="2" borderId="0" xfId="26" applyNumberFormat="1" applyFont="1" applyFill="1" applyBorder="1" applyAlignment="1" applyProtection="1">
      <alignment horizontal="right" vertical="center" shrinkToFit="1" readingOrder="2"/>
    </xf>
    <xf numFmtId="165" fontId="34" fillId="2" borderId="0" xfId="26" applyNumberFormat="1" applyFont="1" applyFill="1" applyBorder="1" applyAlignment="1" applyProtection="1">
      <alignment horizontal="right" vertical="center" shrinkToFit="1" readingOrder="2"/>
    </xf>
    <xf numFmtId="167" fontId="34" fillId="2" borderId="0" xfId="26" applyNumberFormat="1" applyFont="1" applyFill="1" applyBorder="1" applyAlignment="1" applyProtection="1">
      <alignment horizontal="right" vertical="center" shrinkToFit="1" readingOrder="2"/>
    </xf>
    <xf numFmtId="167" fontId="34" fillId="2" borderId="48" xfId="26" applyNumberFormat="1" applyFont="1" applyFill="1" applyBorder="1" applyAlignment="1" applyProtection="1">
      <alignment horizontal="right" vertical="center" shrinkToFit="1" readingOrder="2"/>
    </xf>
    <xf numFmtId="0" fontId="35" fillId="2" borderId="29" xfId="26" applyFont="1" applyFill="1" applyBorder="1" applyAlignment="1" applyProtection="1">
      <alignment horizontal="right" vertical="center" readingOrder="2"/>
    </xf>
    <xf numFmtId="165" fontId="34" fillId="2" borderId="24" xfId="26" applyNumberFormat="1" applyFont="1" applyFill="1" applyBorder="1" applyAlignment="1" applyProtection="1">
      <alignment horizontal="right" vertical="center" shrinkToFit="1" readingOrder="2"/>
    </xf>
    <xf numFmtId="165" fontId="34" fillId="2" borderId="99" xfId="26" applyNumberFormat="1" applyFont="1" applyFill="1" applyBorder="1" applyAlignment="1" applyProtection="1">
      <alignment horizontal="right" vertical="center" shrinkToFit="1" readingOrder="2"/>
    </xf>
    <xf numFmtId="167" fontId="34" fillId="2" borderId="46" xfId="26" applyNumberFormat="1" applyFont="1" applyFill="1" applyBorder="1" applyAlignment="1" applyProtection="1">
      <alignment horizontal="right" vertical="center" shrinkToFit="1" readingOrder="2"/>
    </xf>
    <xf numFmtId="0" fontId="34" fillId="2" borderId="29" xfId="26" applyNumberFormat="1" applyFont="1" applyFill="1" applyBorder="1" applyAlignment="1" applyProtection="1">
      <alignment horizontal="right" vertical="center" readingOrder="2"/>
    </xf>
    <xf numFmtId="0" fontId="34" fillId="2" borderId="48" xfId="26" applyNumberFormat="1" applyFont="1" applyFill="1" applyBorder="1" applyAlignment="1" applyProtection="1">
      <alignment horizontal="right" vertical="center" readingOrder="2"/>
    </xf>
    <xf numFmtId="0" fontId="34" fillId="2" borderId="24" xfId="26" applyNumberFormat="1" applyFont="1" applyFill="1" applyBorder="1" applyAlignment="1" applyProtection="1">
      <alignment horizontal="right" vertical="center" readingOrder="2"/>
    </xf>
    <xf numFmtId="165" fontId="34" fillId="2" borderId="24" xfId="26" applyNumberFormat="1" applyFont="1" applyFill="1" applyBorder="1" applyAlignment="1" applyProtection="1">
      <alignment horizontal="right" vertical="center" readingOrder="2"/>
    </xf>
    <xf numFmtId="167" fontId="34" fillId="2" borderId="47" xfId="26" applyNumberFormat="1" applyFont="1" applyFill="1" applyBorder="1" applyAlignment="1" applyProtection="1">
      <alignment horizontal="right" vertical="center" readingOrder="2"/>
    </xf>
    <xf numFmtId="170" fontId="34" fillId="4" borderId="0" xfId="8" applyNumberFormat="1" applyFont="1" applyFill="1" applyBorder="1" applyAlignment="1" applyProtection="1">
      <alignment horizontal="right" vertical="center" readingOrder="2"/>
    </xf>
    <xf numFmtId="170" fontId="56" fillId="4" borderId="0" xfId="8" applyNumberFormat="1" applyFont="1" applyFill="1" applyBorder="1" applyAlignment="1" applyProtection="1">
      <alignment horizontal="right" vertical="center" readingOrder="2"/>
    </xf>
    <xf numFmtId="170" fontId="58" fillId="4" borderId="0" xfId="8" applyNumberFormat="1" applyFont="1" applyFill="1" applyBorder="1" applyAlignment="1" applyProtection="1">
      <alignment horizontal="right" vertical="center" readingOrder="2"/>
    </xf>
    <xf numFmtId="170" fontId="34" fillId="3" borderId="0" xfId="8" applyNumberFormat="1" applyFont="1" applyFill="1" applyBorder="1" applyAlignment="1" applyProtection="1">
      <alignment horizontal="right" vertical="center" readingOrder="2"/>
    </xf>
    <xf numFmtId="170" fontId="43" fillId="3" borderId="0" xfId="8" applyNumberFormat="1" applyFont="1" applyFill="1" applyBorder="1" applyAlignment="1" applyProtection="1">
      <alignment horizontal="right" vertical="center" readingOrder="2"/>
    </xf>
    <xf numFmtId="49" fontId="28" fillId="5" borderId="100" xfId="8" applyNumberFormat="1" applyFont="1" applyFill="1" applyBorder="1" applyAlignment="1" applyProtection="1">
      <alignment horizontal="right" vertical="center" readingOrder="2"/>
    </xf>
    <xf numFmtId="49" fontId="28" fillId="5" borderId="77" xfId="8" applyNumberFormat="1" applyFont="1" applyFill="1" applyBorder="1" applyAlignment="1" applyProtection="1">
      <alignment horizontal="right" vertical="center" wrapText="1" readingOrder="2"/>
    </xf>
    <xf numFmtId="49" fontId="28" fillId="5" borderId="78" xfId="8" applyNumberFormat="1" applyFont="1" applyFill="1" applyBorder="1" applyAlignment="1" applyProtection="1">
      <alignment horizontal="right" vertical="center" wrapText="1" readingOrder="2"/>
    </xf>
    <xf numFmtId="170" fontId="40" fillId="3" borderId="0" xfId="8" applyNumberFormat="1" applyFont="1" applyFill="1" applyBorder="1" applyAlignment="1" applyProtection="1">
      <alignment horizontal="right" vertical="center" wrapText="1" readingOrder="2"/>
    </xf>
    <xf numFmtId="170" fontId="34" fillId="3" borderId="0" xfId="8" applyNumberFormat="1" applyFont="1" applyFill="1" applyBorder="1" applyAlignment="1" applyProtection="1">
      <alignment horizontal="right" vertical="center" wrapText="1" readingOrder="2"/>
    </xf>
    <xf numFmtId="170" fontId="34" fillId="6" borderId="8" xfId="8" applyNumberFormat="1" applyFont="1" applyFill="1" applyBorder="1" applyAlignment="1" applyProtection="1">
      <alignment horizontal="right" vertical="center" readingOrder="2"/>
    </xf>
    <xf numFmtId="170" fontId="34" fillId="6" borderId="0" xfId="8" applyNumberFormat="1" applyFont="1" applyFill="1" applyBorder="1" applyAlignment="1" applyProtection="1">
      <alignment horizontal="right" vertical="center" readingOrder="2"/>
    </xf>
    <xf numFmtId="170" fontId="34" fillId="6" borderId="9" xfId="8" applyNumberFormat="1" applyFont="1" applyFill="1" applyBorder="1" applyAlignment="1" applyProtection="1">
      <alignment horizontal="right" vertical="center" readingOrder="2"/>
    </xf>
    <xf numFmtId="49" fontId="51" fillId="6" borderId="0" xfId="8" applyNumberFormat="1" applyFont="1" applyFill="1" applyBorder="1" applyAlignment="1" applyProtection="1">
      <alignment horizontal="right" vertical="center" readingOrder="2"/>
    </xf>
    <xf numFmtId="49" fontId="34" fillId="6" borderId="0" xfId="8" applyNumberFormat="1" applyFont="1" applyFill="1" applyBorder="1" applyAlignment="1" applyProtection="1">
      <alignment horizontal="right" vertical="center" readingOrder="2"/>
    </xf>
    <xf numFmtId="165" fontId="34" fillId="8" borderId="68" xfId="8" applyNumberFormat="1" applyFont="1" applyFill="1" applyBorder="1" applyAlignment="1" applyProtection="1">
      <alignment horizontal="right" vertical="center" shrinkToFit="1" readingOrder="2"/>
      <protection locked="0"/>
    </xf>
    <xf numFmtId="165" fontId="34" fillId="8" borderId="69" xfId="8" applyNumberFormat="1" applyFont="1" applyFill="1" applyBorder="1" applyAlignment="1" applyProtection="1">
      <alignment horizontal="right" vertical="center" shrinkToFit="1" readingOrder="2"/>
      <protection locked="0"/>
    </xf>
    <xf numFmtId="165" fontId="34" fillId="9" borderId="101" xfId="8" applyNumberFormat="1" applyFont="1" applyFill="1" applyBorder="1" applyAlignment="1" applyProtection="1">
      <alignment horizontal="right" vertical="center" shrinkToFit="1" readingOrder="2"/>
    </xf>
    <xf numFmtId="165" fontId="34" fillId="8" borderId="70" xfId="8" applyNumberFormat="1" applyFont="1" applyFill="1" applyBorder="1" applyAlignment="1" applyProtection="1">
      <alignment horizontal="right" vertical="center" shrinkToFit="1" readingOrder="2"/>
      <protection locked="0"/>
    </xf>
    <xf numFmtId="165" fontId="34" fillId="8" borderId="71" xfId="8" applyNumberFormat="1" applyFont="1" applyFill="1" applyBorder="1" applyAlignment="1" applyProtection="1">
      <alignment horizontal="right" vertical="center" shrinkToFit="1" readingOrder="2"/>
      <protection locked="0"/>
    </xf>
    <xf numFmtId="165" fontId="34" fillId="9" borderId="83" xfId="8" applyNumberFormat="1" applyFont="1" applyFill="1" applyBorder="1" applyAlignment="1" applyProtection="1">
      <alignment horizontal="right" vertical="center" shrinkToFit="1" readingOrder="2"/>
    </xf>
    <xf numFmtId="165" fontId="34" fillId="8" borderId="72" xfId="8" applyNumberFormat="1" applyFont="1" applyFill="1" applyBorder="1" applyAlignment="1" applyProtection="1">
      <alignment horizontal="right" vertical="center" shrinkToFit="1" readingOrder="2"/>
      <protection locked="0"/>
    </xf>
    <xf numFmtId="165" fontId="34" fillId="8" borderId="73" xfId="8" applyNumberFormat="1" applyFont="1" applyFill="1" applyBorder="1" applyAlignment="1" applyProtection="1">
      <alignment horizontal="right" vertical="center" shrinkToFit="1" readingOrder="2"/>
      <protection locked="0"/>
    </xf>
    <xf numFmtId="165" fontId="34" fillId="9" borderId="102" xfId="8" applyNumberFormat="1" applyFont="1" applyFill="1" applyBorder="1" applyAlignment="1" applyProtection="1">
      <alignment horizontal="right" vertical="center" shrinkToFit="1" readingOrder="2"/>
    </xf>
    <xf numFmtId="49" fontId="34" fillId="6" borderId="0" xfId="8" applyNumberFormat="1" applyFont="1" applyFill="1" applyBorder="1" applyAlignment="1" applyProtection="1">
      <alignment horizontal="right" vertical="center" wrapText="1" readingOrder="2"/>
    </xf>
    <xf numFmtId="165" fontId="34" fillId="9" borderId="103" xfId="8" applyNumberFormat="1" applyFont="1" applyFill="1" applyBorder="1" applyAlignment="1" applyProtection="1">
      <alignment horizontal="right" vertical="center" shrinkToFit="1" readingOrder="2"/>
    </xf>
    <xf numFmtId="165" fontId="34" fillId="9" borderId="104" xfId="8" applyNumberFormat="1" applyFont="1" applyFill="1" applyBorder="1" applyAlignment="1" applyProtection="1">
      <alignment horizontal="right" vertical="center" shrinkToFit="1" readingOrder="2"/>
    </xf>
    <xf numFmtId="165" fontId="34" fillId="9" borderId="105" xfId="8" applyNumberFormat="1" applyFont="1" applyFill="1" applyBorder="1" applyAlignment="1" applyProtection="1">
      <alignment horizontal="right" vertical="center" shrinkToFit="1" readingOrder="2"/>
    </xf>
    <xf numFmtId="170" fontId="40" fillId="3" borderId="0" xfId="8" applyNumberFormat="1" applyFont="1" applyFill="1" applyBorder="1" applyAlignment="1" applyProtection="1">
      <alignment horizontal="right" vertical="center" readingOrder="2"/>
    </xf>
    <xf numFmtId="170" fontId="34" fillId="6" borderId="68" xfId="8" applyNumberFormat="1" applyFont="1" applyFill="1" applyBorder="1" applyAlignment="1" applyProtection="1">
      <alignment horizontal="right" vertical="center" readingOrder="2"/>
    </xf>
    <xf numFmtId="170" fontId="34" fillId="6" borderId="69" xfId="8" applyNumberFormat="1" applyFont="1" applyFill="1" applyBorder="1" applyAlignment="1" applyProtection="1">
      <alignment horizontal="right" vertical="center" readingOrder="2"/>
    </xf>
    <xf numFmtId="170" fontId="34" fillId="6" borderId="101" xfId="8" applyNumberFormat="1" applyFont="1" applyFill="1" applyBorder="1" applyAlignment="1" applyProtection="1">
      <alignment horizontal="right" vertical="center" readingOrder="2"/>
    </xf>
    <xf numFmtId="170" fontId="34" fillId="6" borderId="70" xfId="8" applyNumberFormat="1" applyFont="1" applyFill="1" applyBorder="1" applyAlignment="1" applyProtection="1">
      <alignment horizontal="right" vertical="center" readingOrder="2"/>
    </xf>
    <xf numFmtId="170" fontId="34" fillId="6" borderId="71" xfId="8" applyNumberFormat="1" applyFont="1" applyFill="1" applyBorder="1" applyAlignment="1" applyProtection="1">
      <alignment horizontal="right" vertical="center" readingOrder="2"/>
    </xf>
    <xf numFmtId="170" fontId="34" fillId="6" borderId="83" xfId="8" applyNumberFormat="1" applyFont="1" applyFill="1" applyBorder="1" applyAlignment="1" applyProtection="1">
      <alignment horizontal="right" vertical="center" readingOrder="2"/>
    </xf>
    <xf numFmtId="49" fontId="34" fillId="6" borderId="0" xfId="26" applyNumberFormat="1" applyFont="1" applyFill="1" applyBorder="1" applyAlignment="1" applyProtection="1">
      <alignment horizontal="right" vertical="center" readingOrder="2"/>
    </xf>
    <xf numFmtId="170" fontId="34" fillId="6" borderId="8" xfId="14" applyNumberFormat="1" applyFont="1" applyFill="1" applyBorder="1" applyAlignment="1" applyProtection="1">
      <alignment horizontal="right" vertical="center" readingOrder="2"/>
    </xf>
    <xf numFmtId="170" fontId="40" fillId="2" borderId="0" xfId="8" applyNumberFormat="1" applyFont="1" applyFill="1" applyBorder="1" applyAlignment="1" applyProtection="1">
      <alignment horizontal="right" vertical="center" textRotation="180" readingOrder="2"/>
    </xf>
    <xf numFmtId="165" fontId="34" fillId="9" borderId="92" xfId="8" applyNumberFormat="1" applyFont="1" applyFill="1" applyBorder="1" applyAlignment="1" applyProtection="1">
      <alignment horizontal="right" vertical="center" shrinkToFit="1" readingOrder="2"/>
    </xf>
    <xf numFmtId="165" fontId="34" fillId="9" borderId="93" xfId="8" applyNumberFormat="1" applyFont="1" applyFill="1" applyBorder="1" applyAlignment="1" applyProtection="1">
      <alignment horizontal="right" vertical="center" shrinkToFit="1" readingOrder="2"/>
    </xf>
    <xf numFmtId="165" fontId="34" fillId="9" borderId="106" xfId="8" applyNumberFormat="1" applyFont="1" applyFill="1" applyBorder="1" applyAlignment="1" applyProtection="1">
      <alignment horizontal="right" vertical="center" shrinkToFit="1" readingOrder="2"/>
    </xf>
    <xf numFmtId="170" fontId="34" fillId="6" borderId="52" xfId="8" applyNumberFormat="1" applyFont="1" applyFill="1" applyBorder="1" applyAlignment="1" applyProtection="1">
      <alignment horizontal="right" vertical="center" readingOrder="2"/>
    </xf>
    <xf numFmtId="170" fontId="34" fillId="6" borderId="107" xfId="8" applyNumberFormat="1" applyFont="1" applyFill="1" applyBorder="1" applyAlignment="1" applyProtection="1">
      <alignment horizontal="right" vertical="center" readingOrder="2"/>
    </xf>
    <xf numFmtId="49" fontId="40" fillId="6" borderId="0" xfId="8" applyNumberFormat="1" applyFont="1" applyFill="1" applyBorder="1" applyAlignment="1" applyProtection="1">
      <alignment horizontal="right" vertical="center" readingOrder="2"/>
    </xf>
    <xf numFmtId="165" fontId="40" fillId="7" borderId="74" xfId="8" applyNumberFormat="1" applyFont="1" applyFill="1" applyBorder="1" applyAlignment="1" applyProtection="1">
      <alignment horizontal="right" vertical="center" shrinkToFit="1" readingOrder="2"/>
    </xf>
    <xf numFmtId="165" fontId="40" fillId="7" borderId="75" xfId="8" applyNumberFormat="1" applyFont="1" applyFill="1" applyBorder="1" applyAlignment="1" applyProtection="1">
      <alignment horizontal="right" vertical="center" shrinkToFit="1" readingOrder="2"/>
    </xf>
    <xf numFmtId="165" fontId="40" fillId="7" borderId="76" xfId="8" applyNumberFormat="1" applyFont="1" applyFill="1" applyBorder="1" applyAlignment="1" applyProtection="1">
      <alignment horizontal="right" vertical="center" shrinkToFit="1" readingOrder="2"/>
    </xf>
    <xf numFmtId="170" fontId="34" fillId="6" borderId="37" xfId="14" applyNumberFormat="1" applyFont="1" applyFill="1" applyBorder="1" applyAlignment="1" applyProtection="1">
      <alignment horizontal="right" vertical="center" readingOrder="2"/>
    </xf>
    <xf numFmtId="170" fontId="34" fillId="6" borderId="3" xfId="14" applyNumberFormat="1" applyFont="1" applyFill="1" applyBorder="1" applyAlignment="1" applyProtection="1">
      <alignment horizontal="right" vertical="center" readingOrder="2"/>
    </xf>
    <xf numFmtId="170" fontId="34" fillId="6" borderId="21" xfId="14" applyNumberFormat="1" applyFont="1" applyFill="1" applyBorder="1" applyAlignment="1" applyProtection="1">
      <alignment horizontal="right" vertical="center" readingOrder="2"/>
    </xf>
    <xf numFmtId="170" fontId="34" fillId="3" borderId="0" xfId="14" applyNumberFormat="1" applyFont="1" applyFill="1" applyBorder="1" applyAlignment="1" applyProtection="1">
      <alignment horizontal="right" vertical="center" readingOrder="2"/>
    </xf>
    <xf numFmtId="170" fontId="34" fillId="3" borderId="0" xfId="14" applyNumberFormat="1" applyFont="1" applyFill="1" applyAlignment="1" applyProtection="1">
      <alignment horizontal="right" vertical="center" readingOrder="2"/>
    </xf>
    <xf numFmtId="170" fontId="34" fillId="2" borderId="25" xfId="14" applyNumberFormat="1" applyFont="1" applyFill="1" applyBorder="1" applyAlignment="1" applyProtection="1">
      <alignment horizontal="right" vertical="center" readingOrder="2"/>
    </xf>
    <xf numFmtId="170" fontId="34" fillId="2" borderId="0" xfId="14" applyNumberFormat="1" applyFont="1" applyFill="1" applyAlignment="1" applyProtection="1">
      <alignment horizontal="right" vertical="center" readingOrder="2"/>
    </xf>
    <xf numFmtId="49" fontId="35" fillId="2" borderId="1" xfId="8" applyNumberFormat="1" applyFont="1" applyFill="1" applyBorder="1" applyAlignment="1" applyProtection="1">
      <alignment horizontal="right" vertical="center" readingOrder="2"/>
    </xf>
    <xf numFmtId="49" fontId="35" fillId="2" borderId="1" xfId="8" applyNumberFormat="1" applyFont="1" applyFill="1" applyBorder="1" applyAlignment="1" applyProtection="1">
      <alignment horizontal="right" vertical="center" wrapText="1" readingOrder="2"/>
    </xf>
    <xf numFmtId="0" fontId="32" fillId="2" borderId="29" xfId="8" applyNumberFormat="1" applyFont="1" applyFill="1" applyBorder="1" applyAlignment="1" applyProtection="1">
      <alignment horizontal="right" vertical="center" readingOrder="2"/>
    </xf>
    <xf numFmtId="0" fontId="32" fillId="2" borderId="0" xfId="8" applyNumberFormat="1" applyFont="1" applyFill="1" applyBorder="1" applyAlignment="1" applyProtection="1">
      <alignment horizontal="right" vertical="center" readingOrder="2"/>
    </xf>
    <xf numFmtId="165" fontId="32" fillId="2" borderId="0" xfId="8" applyNumberFormat="1" applyFont="1" applyFill="1" applyBorder="1" applyAlignment="1" applyProtection="1">
      <alignment horizontal="right" vertical="center" readingOrder="2"/>
    </xf>
    <xf numFmtId="165" fontId="32" fillId="2" borderId="48" xfId="8" applyNumberFormat="1" applyFont="1" applyFill="1" applyBorder="1" applyAlignment="1" applyProtection="1">
      <alignment horizontal="right" vertical="center" readingOrder="2"/>
    </xf>
    <xf numFmtId="0" fontId="35" fillId="2" borderId="29" xfId="8" applyNumberFormat="1" applyFont="1" applyFill="1" applyBorder="1" applyAlignment="1" applyProtection="1">
      <alignment horizontal="right" vertical="center" readingOrder="2"/>
    </xf>
    <xf numFmtId="0" fontId="51" fillId="2" borderId="0" xfId="8" applyNumberFormat="1" applyFont="1" applyFill="1" applyBorder="1" applyAlignment="1" applyProtection="1">
      <alignment horizontal="right" vertical="center" readingOrder="2"/>
    </xf>
    <xf numFmtId="165" fontId="32" fillId="2" borderId="1" xfId="8" applyNumberFormat="1" applyFont="1" applyFill="1" applyBorder="1" applyAlignment="1" applyProtection="1">
      <alignment horizontal="right" vertical="center" shrinkToFit="1" readingOrder="2"/>
    </xf>
    <xf numFmtId="165" fontId="32" fillId="2" borderId="108" xfId="8" applyNumberFormat="1" applyFont="1" applyFill="1" applyBorder="1" applyAlignment="1" applyProtection="1">
      <alignment horizontal="right" vertical="center" shrinkToFit="1" readingOrder="2"/>
    </xf>
    <xf numFmtId="165" fontId="32" fillId="2" borderId="109" xfId="8" applyNumberFormat="1" applyFont="1" applyFill="1" applyBorder="1" applyAlignment="1" applyProtection="1">
      <alignment horizontal="right" vertical="center" readingOrder="2"/>
    </xf>
    <xf numFmtId="165" fontId="32" fillId="2" borderId="110" xfId="8" applyNumberFormat="1" applyFont="1" applyFill="1" applyBorder="1" applyAlignment="1" applyProtection="1">
      <alignment horizontal="right" vertical="center" readingOrder="2"/>
    </xf>
    <xf numFmtId="165" fontId="32" fillId="2" borderId="98" xfId="8" applyNumberFormat="1" applyFont="1" applyFill="1" applyBorder="1" applyAlignment="1" applyProtection="1">
      <alignment horizontal="right" vertical="center" shrinkToFit="1" readingOrder="2"/>
    </xf>
    <xf numFmtId="165" fontId="32" fillId="2" borderId="52" xfId="8" applyNumberFormat="1" applyFont="1" applyFill="1" applyBorder="1" applyAlignment="1" applyProtection="1">
      <alignment horizontal="right" vertical="center" readingOrder="2"/>
    </xf>
    <xf numFmtId="165" fontId="32" fillId="2" borderId="111" xfId="8" applyNumberFormat="1" applyFont="1" applyFill="1" applyBorder="1" applyAlignment="1" applyProtection="1">
      <alignment horizontal="right" vertical="center" readingOrder="2"/>
    </xf>
    <xf numFmtId="165" fontId="35" fillId="2" borderId="84" xfId="8" applyNumberFormat="1" applyFont="1" applyFill="1" applyBorder="1" applyAlignment="1" applyProtection="1">
      <alignment horizontal="right" vertical="center" shrinkToFit="1" readingOrder="2"/>
    </xf>
    <xf numFmtId="0" fontId="32" fillId="2" borderId="45" xfId="14" applyNumberFormat="1" applyFont="1" applyFill="1" applyBorder="1" applyAlignment="1" applyProtection="1">
      <alignment horizontal="right" vertical="center" readingOrder="2"/>
    </xf>
    <xf numFmtId="0" fontId="32" fillId="2" borderId="24" xfId="14" applyNumberFormat="1" applyFont="1" applyFill="1" applyBorder="1" applyAlignment="1" applyProtection="1">
      <alignment horizontal="right" vertical="center" readingOrder="2"/>
    </xf>
    <xf numFmtId="170" fontId="32" fillId="2" borderId="24" xfId="14" applyNumberFormat="1" applyFont="1" applyFill="1" applyBorder="1" applyAlignment="1" applyProtection="1">
      <alignment horizontal="right" vertical="center" readingOrder="2"/>
    </xf>
    <xf numFmtId="170" fontId="32" fillId="2" borderId="47" xfId="14" applyNumberFormat="1" applyFont="1" applyFill="1" applyBorder="1" applyAlignment="1" applyProtection="1">
      <alignment horizontal="right" vertical="center" readingOrder="2"/>
    </xf>
    <xf numFmtId="170" fontId="57" fillId="4" borderId="0" xfId="8" applyNumberFormat="1" applyFont="1" applyFill="1" applyBorder="1" applyAlignment="1" applyProtection="1">
      <alignment horizontal="right" vertical="center" readingOrder="2"/>
    </xf>
    <xf numFmtId="0" fontId="33" fillId="4" borderId="0" xfId="14" applyFont="1" applyFill="1" applyAlignment="1" applyProtection="1">
      <alignment horizontal="right" vertical="center" readingOrder="2"/>
    </xf>
    <xf numFmtId="170" fontId="56" fillId="2" borderId="2" xfId="8" applyNumberFormat="1" applyFont="1" applyFill="1" applyBorder="1" applyAlignment="1" applyProtection="1">
      <alignment horizontal="right" vertical="center" readingOrder="2"/>
    </xf>
    <xf numFmtId="170" fontId="56" fillId="2" borderId="0" xfId="8" applyNumberFormat="1" applyFont="1" applyFill="1" applyBorder="1" applyAlignment="1" applyProtection="1">
      <alignment horizontal="right" vertical="center" readingOrder="2"/>
    </xf>
    <xf numFmtId="170" fontId="34" fillId="2" borderId="0" xfId="8" applyNumberFormat="1" applyFont="1" applyFill="1" applyBorder="1" applyAlignment="1" applyProtection="1">
      <alignment horizontal="right" vertical="center" readingOrder="2"/>
    </xf>
    <xf numFmtId="170" fontId="55" fillId="4" borderId="0" xfId="8" applyNumberFormat="1" applyFont="1" applyFill="1" applyBorder="1" applyAlignment="1" applyProtection="1">
      <alignment horizontal="right" vertical="center" wrapText="1" readingOrder="2"/>
    </xf>
    <xf numFmtId="170" fontId="57" fillId="4" borderId="0" xfId="8" applyNumberFormat="1" applyFont="1" applyFill="1" applyBorder="1" applyAlignment="1" applyProtection="1">
      <alignment horizontal="right" vertical="center" wrapText="1" readingOrder="2"/>
    </xf>
    <xf numFmtId="170" fontId="34" fillId="2" borderId="2" xfId="8" applyNumberFormat="1" applyFont="1" applyFill="1" applyBorder="1" applyAlignment="1" applyProtection="1">
      <alignment horizontal="right" vertical="center" readingOrder="2"/>
    </xf>
    <xf numFmtId="170" fontId="57" fillId="3" borderId="0" xfId="8" applyNumberFormat="1" applyFont="1" applyFill="1" applyBorder="1" applyAlignment="1" applyProtection="1">
      <alignment horizontal="right" vertical="center" readingOrder="2"/>
    </xf>
    <xf numFmtId="170" fontId="43" fillId="3" borderId="3" xfId="8" applyNumberFormat="1" applyFont="1" applyFill="1" applyBorder="1" applyAlignment="1" applyProtection="1">
      <alignment horizontal="right" vertical="center" readingOrder="2"/>
    </xf>
    <xf numFmtId="170" fontId="57" fillId="3" borderId="0" xfId="8" applyNumberFormat="1" applyFont="1" applyFill="1" applyBorder="1" applyAlignment="1" applyProtection="1">
      <alignment horizontal="right" vertical="center" wrapText="1" readingOrder="2"/>
    </xf>
    <xf numFmtId="170" fontId="57" fillId="3" borderId="4" xfId="8" applyNumberFormat="1" applyFont="1" applyFill="1" applyBorder="1" applyAlignment="1" applyProtection="1">
      <alignment horizontal="right" vertical="center" wrapText="1" readingOrder="2"/>
    </xf>
    <xf numFmtId="170" fontId="34" fillId="3" borderId="9" xfId="8" applyNumberFormat="1" applyFont="1" applyFill="1" applyBorder="1" applyAlignment="1" applyProtection="1">
      <alignment horizontal="right" vertical="center" readingOrder="2"/>
    </xf>
    <xf numFmtId="170" fontId="68" fillId="3" borderId="8" xfId="8" applyNumberFormat="1" applyFont="1" applyFill="1" applyBorder="1" applyAlignment="1" applyProtection="1">
      <alignment horizontal="right" vertical="center" wrapText="1" readingOrder="2"/>
    </xf>
    <xf numFmtId="170" fontId="68" fillId="3" borderId="4" xfId="8" applyNumberFormat="1" applyFont="1" applyFill="1" applyBorder="1" applyAlignment="1" applyProtection="1">
      <alignment horizontal="right" vertical="center" wrapText="1" readingOrder="2"/>
    </xf>
    <xf numFmtId="170" fontId="34" fillId="6" borderId="52" xfId="8" applyNumberFormat="1" applyFont="1" applyFill="1" applyBorder="1" applyAlignment="1" applyProtection="1">
      <alignment horizontal="right" vertical="center" shrinkToFit="1" readingOrder="2"/>
    </xf>
    <xf numFmtId="170" fontId="34" fillId="6" borderId="107" xfId="8" applyNumberFormat="1" applyFont="1" applyFill="1" applyBorder="1" applyAlignment="1" applyProtection="1">
      <alignment horizontal="right" vertical="center" shrinkToFit="1" readingOrder="2"/>
    </xf>
    <xf numFmtId="170" fontId="34" fillId="6" borderId="0" xfId="8" applyNumberFormat="1" applyFont="1" applyFill="1" applyBorder="1" applyAlignment="1" applyProtection="1">
      <alignment horizontal="right" vertical="center" shrinkToFit="1" readingOrder="2"/>
    </xf>
    <xf numFmtId="170" fontId="34" fillId="6" borderId="9" xfId="8" applyNumberFormat="1" applyFont="1" applyFill="1" applyBorder="1" applyAlignment="1" applyProtection="1">
      <alignment horizontal="right" vertical="center" shrinkToFit="1" readingOrder="2"/>
    </xf>
    <xf numFmtId="170" fontId="40" fillId="2" borderId="2" xfId="8" applyNumberFormat="1" applyFont="1" applyFill="1" applyBorder="1" applyAlignment="1" applyProtection="1">
      <alignment horizontal="right" vertical="center" textRotation="180" readingOrder="2"/>
    </xf>
    <xf numFmtId="170" fontId="34" fillId="6" borderId="37" xfId="8" applyNumberFormat="1" applyFont="1" applyFill="1" applyBorder="1" applyAlignment="1" applyProtection="1">
      <alignment horizontal="right" vertical="center" readingOrder="2"/>
    </xf>
    <xf numFmtId="49" fontId="34" fillId="6" borderId="3" xfId="8" applyNumberFormat="1" applyFont="1" applyFill="1" applyBorder="1" applyAlignment="1" applyProtection="1">
      <alignment horizontal="right" vertical="center" readingOrder="2"/>
    </xf>
    <xf numFmtId="170" fontId="34" fillId="6" borderId="3" xfId="8" applyNumberFormat="1" applyFont="1" applyFill="1" applyBorder="1" applyAlignment="1" applyProtection="1">
      <alignment horizontal="right" vertical="center" readingOrder="2"/>
    </xf>
    <xf numFmtId="170" fontId="34" fillId="6" borderId="21" xfId="8" applyNumberFormat="1" applyFont="1" applyFill="1" applyBorder="1" applyAlignment="1" applyProtection="1">
      <alignment horizontal="right" vertical="center" readingOrder="2"/>
    </xf>
    <xf numFmtId="170" fontId="34" fillId="2" borderId="25" xfId="8" applyNumberFormat="1" applyFont="1" applyFill="1" applyBorder="1" applyAlignment="1" applyProtection="1">
      <alignment horizontal="right" vertical="center" readingOrder="2"/>
    </xf>
    <xf numFmtId="0" fontId="34" fillId="2" borderId="0" xfId="8" applyNumberFormat="1" applyFont="1" applyFill="1" applyBorder="1" applyAlignment="1" applyProtection="1">
      <alignment horizontal="right" vertical="center" readingOrder="2"/>
    </xf>
    <xf numFmtId="49" fontId="32" fillId="2" borderId="0" xfId="8" applyNumberFormat="1" applyFont="1" applyFill="1" applyBorder="1" applyAlignment="1" applyProtection="1">
      <alignment horizontal="right" vertical="center" readingOrder="2"/>
    </xf>
    <xf numFmtId="0" fontId="32" fillId="2" borderId="48" xfId="8" applyNumberFormat="1" applyFont="1" applyFill="1" applyBorder="1" applyAlignment="1" applyProtection="1">
      <alignment horizontal="right" vertical="center" readingOrder="2"/>
    </xf>
    <xf numFmtId="49" fontId="51" fillId="2" borderId="0" xfId="8" applyNumberFormat="1" applyFont="1" applyFill="1" applyBorder="1" applyAlignment="1" applyProtection="1">
      <alignment horizontal="right" vertical="center" readingOrder="2"/>
    </xf>
    <xf numFmtId="0" fontId="32" fillId="2" borderId="52" xfId="8" applyNumberFormat="1" applyFont="1" applyFill="1" applyBorder="1" applyAlignment="1" applyProtection="1">
      <alignment horizontal="right" vertical="center" shrinkToFit="1" readingOrder="2"/>
    </xf>
    <xf numFmtId="0" fontId="32" fillId="2" borderId="111" xfId="8" applyNumberFormat="1" applyFont="1" applyFill="1" applyBorder="1" applyAlignment="1" applyProtection="1">
      <alignment horizontal="right" vertical="center" shrinkToFit="1" readingOrder="2"/>
    </xf>
    <xf numFmtId="0" fontId="32" fillId="2" borderId="0" xfId="8" applyNumberFormat="1" applyFont="1" applyFill="1" applyBorder="1" applyAlignment="1" applyProtection="1">
      <alignment horizontal="right" vertical="center" shrinkToFit="1" readingOrder="2"/>
    </xf>
    <xf numFmtId="0" fontId="32" fillId="2" borderId="48" xfId="8" applyNumberFormat="1" applyFont="1" applyFill="1" applyBorder="1" applyAlignment="1" applyProtection="1">
      <alignment horizontal="right" vertical="center" shrinkToFit="1" readingOrder="2"/>
    </xf>
    <xf numFmtId="0" fontId="32" fillId="2" borderId="45" xfId="8" applyNumberFormat="1" applyFont="1" applyFill="1" applyBorder="1" applyAlignment="1" applyProtection="1">
      <alignment horizontal="right" vertical="center" readingOrder="2"/>
    </xf>
    <xf numFmtId="0" fontId="32" fillId="2" borderId="24" xfId="8" applyNumberFormat="1" applyFont="1" applyFill="1" applyBorder="1" applyAlignment="1" applyProtection="1">
      <alignment horizontal="right" vertical="center" readingOrder="2"/>
    </xf>
    <xf numFmtId="0" fontId="32" fillId="2" borderId="47" xfId="8" applyNumberFormat="1" applyFont="1" applyFill="1" applyBorder="1" applyAlignment="1" applyProtection="1">
      <alignment horizontal="right" vertical="center" readingOrder="2"/>
    </xf>
    <xf numFmtId="170" fontId="17" fillId="4" borderId="0" xfId="8" applyNumberFormat="1" applyFont="1" applyFill="1" applyBorder="1" applyAlignment="1" applyProtection="1">
      <alignment horizontal="right" vertical="center" readingOrder="2"/>
    </xf>
    <xf numFmtId="170" fontId="10" fillId="2" borderId="2" xfId="8" applyNumberFormat="1" applyFont="1" applyFill="1" applyBorder="1" applyAlignment="1" applyProtection="1">
      <alignment horizontal="right" vertical="center" readingOrder="2"/>
    </xf>
    <xf numFmtId="170" fontId="10" fillId="2" borderId="0" xfId="8" applyNumberFormat="1" applyFont="1" applyFill="1" applyBorder="1" applyAlignment="1" applyProtection="1">
      <alignment horizontal="right" vertical="center" readingOrder="2"/>
    </xf>
    <xf numFmtId="170" fontId="10" fillId="4" borderId="0" xfId="8" applyNumberFormat="1" applyFont="1" applyFill="1" applyBorder="1" applyAlignment="1" applyProtection="1">
      <alignment horizontal="right" vertical="center" readingOrder="2"/>
    </xf>
    <xf numFmtId="170" fontId="56" fillId="3" borderId="0" xfId="8" applyNumberFormat="1" applyFont="1" applyFill="1" applyBorder="1" applyAlignment="1" applyProtection="1">
      <alignment horizontal="right" vertical="center" readingOrder="2"/>
    </xf>
    <xf numFmtId="170" fontId="10" fillId="3" borderId="0" xfId="8" applyNumberFormat="1" applyFont="1" applyFill="1" applyBorder="1" applyAlignment="1" applyProtection="1">
      <alignment horizontal="right" vertical="center" readingOrder="2"/>
    </xf>
    <xf numFmtId="49" fontId="28" fillId="5" borderId="112" xfId="8" applyNumberFormat="1" applyFont="1" applyFill="1" applyBorder="1" applyAlignment="1" applyProtection="1">
      <alignment horizontal="center" vertical="center" wrapText="1" readingOrder="2"/>
    </xf>
    <xf numFmtId="170" fontId="34" fillId="3" borderId="8" xfId="8" applyNumberFormat="1" applyFont="1" applyFill="1" applyBorder="1" applyAlignment="1" applyProtection="1">
      <alignment horizontal="right" vertical="center" readingOrder="2"/>
    </xf>
    <xf numFmtId="165" fontId="34" fillId="7" borderId="69" xfId="8" applyNumberFormat="1" applyFont="1" applyFill="1" applyBorder="1" applyAlignment="1" applyProtection="1">
      <alignment horizontal="right" vertical="center" shrinkToFit="1" readingOrder="2"/>
    </xf>
    <xf numFmtId="165" fontId="34" fillId="7" borderId="71" xfId="8" applyNumberFormat="1" applyFont="1" applyFill="1" applyBorder="1" applyAlignment="1" applyProtection="1">
      <alignment horizontal="right" vertical="center" shrinkToFit="1" readingOrder="2"/>
    </xf>
    <xf numFmtId="165" fontId="34" fillId="7" borderId="73" xfId="8" applyNumberFormat="1" applyFont="1" applyFill="1" applyBorder="1" applyAlignment="1" applyProtection="1">
      <alignment horizontal="right" vertical="center" shrinkToFit="1" readingOrder="2"/>
    </xf>
    <xf numFmtId="170" fontId="34" fillId="6" borderId="109" xfId="8" applyNumberFormat="1" applyFont="1" applyFill="1" applyBorder="1" applyAlignment="1" applyProtection="1">
      <alignment horizontal="right" vertical="center" shrinkToFit="1" readingOrder="2"/>
    </xf>
    <xf numFmtId="170" fontId="34" fillId="6" borderId="113" xfId="8" applyNumberFormat="1" applyFont="1" applyFill="1" applyBorder="1" applyAlignment="1" applyProtection="1">
      <alignment horizontal="right" vertical="center" shrinkToFit="1" readingOrder="2"/>
    </xf>
    <xf numFmtId="165" fontId="34" fillId="7" borderId="74" xfId="8" applyNumberFormat="1" applyFont="1" applyFill="1" applyBorder="1" applyAlignment="1" applyProtection="1">
      <alignment horizontal="right" vertical="center" shrinkToFit="1" readingOrder="2"/>
    </xf>
    <xf numFmtId="165" fontId="34" fillId="7" borderId="75" xfId="8" applyNumberFormat="1" applyFont="1" applyFill="1" applyBorder="1" applyAlignment="1" applyProtection="1">
      <alignment horizontal="right" vertical="center" shrinkToFit="1" readingOrder="2"/>
    </xf>
    <xf numFmtId="165" fontId="34" fillId="7" borderId="76" xfId="8" applyNumberFormat="1" applyFont="1" applyFill="1" applyBorder="1" applyAlignment="1" applyProtection="1">
      <alignment horizontal="right" vertical="center" shrinkToFit="1" readingOrder="2"/>
    </xf>
    <xf numFmtId="170" fontId="34" fillId="6" borderId="114" xfId="8" applyNumberFormat="1" applyFont="1" applyFill="1" applyBorder="1" applyAlignment="1" applyProtection="1">
      <alignment horizontal="right" vertical="center" readingOrder="2"/>
    </xf>
    <xf numFmtId="170" fontId="10" fillId="2" borderId="25" xfId="8" applyNumberFormat="1" applyFont="1" applyFill="1" applyBorder="1" applyAlignment="1" applyProtection="1">
      <alignment horizontal="right" vertical="center" readingOrder="2"/>
    </xf>
    <xf numFmtId="49" fontId="35" fillId="2" borderId="39" xfId="8" applyNumberFormat="1" applyFont="1" applyFill="1" applyBorder="1" applyAlignment="1" applyProtection="1">
      <alignment horizontal="right" vertical="center" readingOrder="2"/>
    </xf>
    <xf numFmtId="49" fontId="32" fillId="2" borderId="41" xfId="14" applyNumberFormat="1" applyFont="1" applyFill="1" applyBorder="1" applyAlignment="1" applyProtection="1">
      <alignment horizontal="right" vertical="center" readingOrder="2"/>
    </xf>
    <xf numFmtId="49" fontId="35" fillId="2" borderId="40" xfId="14" applyNumberFormat="1" applyFont="1" applyFill="1" applyBorder="1" applyAlignment="1" applyProtection="1">
      <alignment horizontal="right" vertical="center" readingOrder="2"/>
    </xf>
    <xf numFmtId="0" fontId="10" fillId="2" borderId="0" xfId="8" applyNumberFormat="1" applyFont="1" applyFill="1" applyBorder="1" applyAlignment="1" applyProtection="1">
      <alignment horizontal="right" vertical="center" readingOrder="2"/>
    </xf>
    <xf numFmtId="0" fontId="51" fillId="2" borderId="0" xfId="8" applyNumberFormat="1" applyFont="1" applyFill="1" applyBorder="1" applyAlignment="1" applyProtection="1">
      <alignment horizontal="right" vertical="center" shrinkToFit="1" readingOrder="2"/>
    </xf>
    <xf numFmtId="0" fontId="32" fillId="2" borderId="109" xfId="8" applyNumberFormat="1" applyFont="1" applyFill="1" applyBorder="1" applyAlignment="1" applyProtection="1">
      <alignment horizontal="right" vertical="center" shrinkToFit="1" readingOrder="2"/>
    </xf>
    <xf numFmtId="0" fontId="32" fillId="2" borderId="110" xfId="8" applyNumberFormat="1" applyFont="1" applyFill="1" applyBorder="1" applyAlignment="1" applyProtection="1">
      <alignment horizontal="right" vertical="center" shrinkToFit="1" readingOrder="2"/>
    </xf>
    <xf numFmtId="165" fontId="32" fillId="2" borderId="84" xfId="8" applyNumberFormat="1" applyFont="1" applyFill="1" applyBorder="1" applyAlignment="1" applyProtection="1">
      <alignment horizontal="right" vertical="center" shrinkToFit="1" readingOrder="2"/>
    </xf>
    <xf numFmtId="0" fontId="32" fillId="2" borderId="24" xfId="8" applyNumberFormat="1" applyFont="1" applyFill="1" applyBorder="1" applyAlignment="1" applyProtection="1">
      <alignment horizontal="right" vertical="center" shrinkToFit="1" readingOrder="2"/>
    </xf>
    <xf numFmtId="0" fontId="32" fillId="2" borderId="115" xfId="8" applyNumberFormat="1" applyFont="1" applyFill="1" applyBorder="1" applyAlignment="1" applyProtection="1">
      <alignment horizontal="right" vertical="center" readingOrder="2"/>
    </xf>
    <xf numFmtId="0" fontId="32" fillId="2" borderId="116" xfId="8" applyNumberFormat="1" applyFont="1" applyFill="1" applyBorder="1" applyAlignment="1" applyProtection="1">
      <alignment horizontal="right" vertical="center" readingOrder="2"/>
    </xf>
    <xf numFmtId="0" fontId="94" fillId="4" borderId="0" xfId="29" applyFont="1" applyFill="1" applyAlignment="1" applyProtection="1">
      <alignment horizontal="right" vertical="center" readingOrder="2"/>
    </xf>
    <xf numFmtId="0" fontId="58" fillId="4" borderId="0" xfId="29" applyFont="1" applyFill="1" applyAlignment="1" applyProtection="1">
      <alignment horizontal="right" vertical="center" readingOrder="2"/>
    </xf>
    <xf numFmtId="0" fontId="57" fillId="4" borderId="0" xfId="29" applyFont="1" applyFill="1" applyAlignment="1" applyProtection="1">
      <alignment horizontal="right" vertical="center" readingOrder="2"/>
    </xf>
    <xf numFmtId="0" fontId="34" fillId="2" borderId="2" xfId="29" applyFont="1" applyFill="1" applyBorder="1" applyAlignment="1" applyProtection="1">
      <alignment horizontal="right" vertical="center" readingOrder="2"/>
    </xf>
    <xf numFmtId="0" fontId="34" fillId="2" borderId="0" xfId="29" applyFont="1" applyFill="1" applyBorder="1" applyAlignment="1" applyProtection="1">
      <alignment horizontal="right" vertical="center" readingOrder="2"/>
    </xf>
    <xf numFmtId="0" fontId="34" fillId="2" borderId="0" xfId="29" applyFont="1" applyFill="1" applyAlignment="1" applyProtection="1">
      <alignment horizontal="right" vertical="center" readingOrder="2"/>
    </xf>
    <xf numFmtId="0" fontId="60" fillId="4" borderId="0" xfId="14" applyFont="1" applyFill="1" applyAlignment="1" applyProtection="1">
      <alignment horizontal="right" vertical="center" readingOrder="2"/>
    </xf>
    <xf numFmtId="0" fontId="43" fillId="3" borderId="3" xfId="29" applyFont="1" applyFill="1" applyBorder="1" applyAlignment="1" applyProtection="1">
      <alignment horizontal="right" vertical="center" readingOrder="2"/>
    </xf>
    <xf numFmtId="0" fontId="34" fillId="3" borderId="0" xfId="29" applyFont="1" applyFill="1" applyAlignment="1" applyProtection="1">
      <alignment horizontal="right" vertical="center" readingOrder="2"/>
    </xf>
    <xf numFmtId="0" fontId="34" fillId="6" borderId="53" xfId="29" applyFont="1" applyFill="1" applyBorder="1" applyAlignment="1" applyProtection="1">
      <alignment horizontal="right" vertical="center" readingOrder="2"/>
    </xf>
    <xf numFmtId="169" fontId="40" fillId="6" borderId="38" xfId="29" applyNumberFormat="1" applyFont="1" applyFill="1" applyBorder="1" applyAlignment="1" applyProtection="1">
      <alignment horizontal="right" vertical="center" readingOrder="2"/>
    </xf>
    <xf numFmtId="0" fontId="95" fillId="6" borderId="90" xfId="29" applyFont="1" applyFill="1" applyBorder="1" applyAlignment="1" applyProtection="1">
      <alignment horizontal="right" vertical="center" shrinkToFit="1" readingOrder="2"/>
    </xf>
    <xf numFmtId="0" fontId="34" fillId="6" borderId="8" xfId="29" applyFont="1" applyFill="1" applyBorder="1" applyAlignment="1" applyProtection="1">
      <alignment horizontal="right" vertical="center" readingOrder="2"/>
    </xf>
    <xf numFmtId="0" fontId="56" fillId="6" borderId="0" xfId="29" applyNumberFormat="1" applyFont="1" applyFill="1" applyBorder="1" applyAlignment="1" applyProtection="1">
      <alignment horizontal="right" vertical="center" readingOrder="2"/>
    </xf>
    <xf numFmtId="0" fontId="34" fillId="6" borderId="0" xfId="29" applyFont="1" applyFill="1" applyBorder="1" applyAlignment="1" applyProtection="1">
      <alignment horizontal="right" vertical="center" readingOrder="2"/>
    </xf>
    <xf numFmtId="0" fontId="56" fillId="6" borderId="0" xfId="29" applyNumberFormat="1" applyFont="1" applyFill="1" applyBorder="1" applyAlignment="1" applyProtection="1">
      <alignment horizontal="right" vertical="center" shrinkToFit="1" readingOrder="2"/>
    </xf>
    <xf numFmtId="0" fontId="34" fillId="6" borderId="9" xfId="29" applyFont="1" applyFill="1" applyBorder="1" applyAlignment="1" applyProtection="1">
      <alignment horizontal="right" vertical="center" readingOrder="2"/>
    </xf>
    <xf numFmtId="169" fontId="34" fillId="6" borderId="0" xfId="29" applyNumberFormat="1" applyFont="1" applyFill="1" applyBorder="1" applyAlignment="1" applyProtection="1">
      <alignment horizontal="right" vertical="center" readingOrder="2"/>
    </xf>
    <xf numFmtId="165" fontId="34" fillId="6" borderId="0" xfId="29" applyNumberFormat="1" applyFont="1" applyFill="1" applyBorder="1" applyAlignment="1" applyProtection="1">
      <alignment horizontal="right" vertical="center" readingOrder="2"/>
    </xf>
    <xf numFmtId="0" fontId="34" fillId="6" borderId="8" xfId="29" applyFont="1" applyFill="1" applyBorder="1" applyAlignment="1" applyProtection="1">
      <alignment horizontal="right" vertical="center" wrapText="1" readingOrder="2"/>
    </xf>
    <xf numFmtId="165" fontId="34" fillId="8" borderId="10" xfId="29" applyNumberFormat="1" applyFont="1" applyFill="1" applyBorder="1" applyAlignment="1" applyProtection="1">
      <alignment horizontal="right" vertical="center" shrinkToFit="1" readingOrder="2"/>
      <protection locked="0"/>
    </xf>
    <xf numFmtId="165" fontId="34" fillId="6" borderId="0" xfId="29" applyNumberFormat="1" applyFont="1" applyFill="1" applyBorder="1" applyAlignment="1" applyProtection="1">
      <alignment horizontal="right" vertical="center" shrinkToFit="1" readingOrder="2"/>
    </xf>
    <xf numFmtId="165" fontId="34" fillId="8" borderId="0" xfId="29" applyNumberFormat="1" applyFont="1" applyFill="1" applyBorder="1" applyAlignment="1" applyProtection="1">
      <alignment horizontal="right" vertical="center" shrinkToFit="1" readingOrder="2"/>
      <protection locked="0"/>
    </xf>
    <xf numFmtId="165" fontId="34" fillId="8" borderId="23" xfId="29" applyNumberFormat="1" applyFont="1" applyFill="1" applyBorder="1" applyAlignment="1" applyProtection="1">
      <alignment horizontal="right" vertical="center" shrinkToFit="1" readingOrder="2"/>
      <protection locked="0"/>
    </xf>
    <xf numFmtId="165" fontId="34" fillId="7" borderId="23" xfId="29" applyNumberFormat="1" applyFont="1" applyFill="1" applyBorder="1" applyAlignment="1" applyProtection="1">
      <alignment horizontal="right" vertical="center" shrinkToFit="1" readingOrder="2"/>
    </xf>
    <xf numFmtId="165" fontId="34" fillId="9" borderId="67" xfId="29" applyNumberFormat="1" applyFont="1" applyFill="1" applyBorder="1" applyAlignment="1" applyProtection="1">
      <alignment horizontal="right" vertical="center" shrinkToFit="1" readingOrder="2"/>
    </xf>
    <xf numFmtId="165" fontId="34" fillId="9" borderId="15" xfId="29" applyNumberFormat="1" applyFont="1" applyFill="1" applyBorder="1" applyAlignment="1" applyProtection="1">
      <alignment horizontal="right" vertical="center" shrinkToFit="1" readingOrder="2"/>
    </xf>
    <xf numFmtId="0" fontId="40" fillId="6" borderId="8" xfId="29" applyFont="1" applyFill="1" applyBorder="1" applyAlignment="1" applyProtection="1">
      <alignment horizontal="right" vertical="center" readingOrder="2"/>
    </xf>
    <xf numFmtId="37" fontId="34" fillId="6" borderId="0" xfId="29" applyNumberFormat="1" applyFont="1" applyFill="1" applyBorder="1" applyAlignment="1" applyProtection="1">
      <alignment horizontal="right" vertical="center" readingOrder="2"/>
    </xf>
    <xf numFmtId="0" fontId="60" fillId="6" borderId="8" xfId="29" applyFont="1" applyFill="1" applyBorder="1" applyAlignment="1" applyProtection="1">
      <alignment horizontal="right" vertical="center" readingOrder="2"/>
    </xf>
    <xf numFmtId="165" fontId="34" fillId="7" borderId="0" xfId="29" applyNumberFormat="1" applyFont="1" applyFill="1" applyBorder="1" applyAlignment="1" applyProtection="1">
      <alignment horizontal="right" vertical="center" readingOrder="2"/>
    </xf>
    <xf numFmtId="165" fontId="34" fillId="8" borderId="23" xfId="29" applyNumberFormat="1" applyFont="1" applyFill="1" applyBorder="1" applyAlignment="1" applyProtection="1">
      <alignment horizontal="right" vertical="center" readingOrder="2"/>
      <protection locked="0"/>
    </xf>
    <xf numFmtId="165" fontId="32" fillId="9" borderId="15" xfId="29" applyNumberFormat="1" applyFont="1" applyFill="1" applyBorder="1" applyAlignment="1" applyProtection="1">
      <alignment horizontal="right" vertical="center" readingOrder="2"/>
    </xf>
    <xf numFmtId="165" fontId="34" fillId="7" borderId="10" xfId="29" applyNumberFormat="1" applyFont="1" applyFill="1" applyBorder="1" applyAlignment="1" applyProtection="1">
      <alignment horizontal="right" vertical="center" readingOrder="2"/>
    </xf>
    <xf numFmtId="165" fontId="34" fillId="7" borderId="11" xfId="29" applyNumberFormat="1" applyFont="1" applyFill="1" applyBorder="1" applyAlignment="1" applyProtection="1">
      <alignment horizontal="right" vertical="center" readingOrder="2"/>
    </xf>
    <xf numFmtId="165" fontId="34" fillId="9" borderId="15" xfId="29" applyNumberFormat="1" applyFont="1" applyFill="1" applyBorder="1" applyAlignment="1" applyProtection="1">
      <alignment horizontal="right" vertical="center" readingOrder="2"/>
    </xf>
    <xf numFmtId="165" fontId="34" fillId="8" borderId="11" xfId="29" applyNumberFormat="1" applyFont="1" applyFill="1" applyBorder="1" applyAlignment="1" applyProtection="1">
      <alignment horizontal="right" vertical="center" shrinkToFit="1" readingOrder="2"/>
      <protection locked="0"/>
    </xf>
    <xf numFmtId="165" fontId="34" fillId="8" borderId="12" xfId="29" applyNumberFormat="1" applyFont="1" applyFill="1" applyBorder="1" applyAlignment="1" applyProtection="1">
      <alignment horizontal="right" vertical="center" shrinkToFit="1" readingOrder="2"/>
      <protection locked="0"/>
    </xf>
    <xf numFmtId="165" fontId="32" fillId="9" borderId="15" xfId="29" applyNumberFormat="1" applyFont="1" applyFill="1" applyBorder="1" applyAlignment="1" applyProtection="1">
      <alignment horizontal="right" vertical="center" shrinkToFit="1" readingOrder="2"/>
    </xf>
    <xf numFmtId="0" fontId="34" fillId="6" borderId="37" xfId="29" applyFont="1" applyFill="1" applyBorder="1" applyAlignment="1" applyProtection="1">
      <alignment horizontal="right" vertical="center" readingOrder="2"/>
    </xf>
    <xf numFmtId="169" fontId="34" fillId="6" borderId="3" xfId="29" applyNumberFormat="1" applyFont="1" applyFill="1" applyBorder="1" applyAlignment="1" applyProtection="1">
      <alignment horizontal="right" vertical="center" readingOrder="2"/>
    </xf>
    <xf numFmtId="165" fontId="34" fillId="6" borderId="3" xfId="29" applyNumberFormat="1" applyFont="1" applyFill="1" applyBorder="1" applyAlignment="1" applyProtection="1">
      <alignment horizontal="right" vertical="center" readingOrder="2"/>
    </xf>
    <xf numFmtId="0" fontId="34" fillId="6" borderId="3" xfId="29" applyFont="1" applyFill="1" applyBorder="1" applyAlignment="1" applyProtection="1">
      <alignment horizontal="right" vertical="center" readingOrder="2"/>
    </xf>
    <xf numFmtId="0" fontId="34" fillId="6" borderId="21" xfId="29" applyFont="1" applyFill="1" applyBorder="1" applyAlignment="1" applyProtection="1">
      <alignment horizontal="right" vertical="center" readingOrder="2"/>
    </xf>
    <xf numFmtId="169" fontId="34" fillId="3" borderId="0" xfId="29" applyNumberFormat="1" applyFont="1" applyFill="1" applyAlignment="1" applyProtection="1">
      <alignment horizontal="right" vertical="center" readingOrder="2"/>
    </xf>
    <xf numFmtId="165" fontId="34" fillId="3" borderId="0" xfId="29" applyNumberFormat="1" applyFont="1" applyFill="1" applyAlignment="1" applyProtection="1">
      <alignment horizontal="right" vertical="center" readingOrder="2"/>
    </xf>
    <xf numFmtId="0" fontId="34" fillId="2" borderId="25" xfId="29" applyFont="1" applyFill="1" applyBorder="1" applyAlignment="1" applyProtection="1">
      <alignment horizontal="right" vertical="center" readingOrder="2"/>
    </xf>
    <xf numFmtId="169" fontId="34" fillId="2" borderId="25" xfId="29" applyNumberFormat="1" applyFont="1" applyFill="1" applyBorder="1" applyAlignment="1" applyProtection="1">
      <alignment horizontal="right" vertical="center" readingOrder="2"/>
    </xf>
    <xf numFmtId="165" fontId="34" fillId="2" borderId="25" xfId="29" applyNumberFormat="1" applyFont="1" applyFill="1" applyBorder="1" applyAlignment="1" applyProtection="1">
      <alignment horizontal="right" vertical="center" readingOrder="2"/>
    </xf>
    <xf numFmtId="169" fontId="34" fillId="2" borderId="0" xfId="29" applyNumberFormat="1" applyFont="1" applyFill="1" applyAlignment="1" applyProtection="1">
      <alignment horizontal="right" vertical="center" readingOrder="2"/>
    </xf>
    <xf numFmtId="165" fontId="34" fillId="2" borderId="0" xfId="29" applyNumberFormat="1" applyFont="1" applyFill="1" applyAlignment="1" applyProtection="1">
      <alignment horizontal="right" vertical="center" readingOrder="2"/>
    </xf>
    <xf numFmtId="169" fontId="34" fillId="2" borderId="0" xfId="29" applyNumberFormat="1" applyFont="1" applyFill="1" applyBorder="1" applyAlignment="1" applyProtection="1">
      <alignment horizontal="right" vertical="center" readingOrder="2"/>
    </xf>
    <xf numFmtId="165" fontId="34" fillId="2" borderId="0" xfId="29" applyNumberFormat="1" applyFont="1" applyFill="1" applyBorder="1" applyAlignment="1" applyProtection="1">
      <alignment horizontal="right" vertical="center" readingOrder="2"/>
    </xf>
    <xf numFmtId="0" fontId="34" fillId="2" borderId="0" xfId="29" applyFont="1" applyFill="1" applyBorder="1" applyAlignment="1" applyProtection="1">
      <alignment horizontal="right" vertical="center" wrapText="1" readingOrder="2"/>
    </xf>
    <xf numFmtId="165" fontId="34" fillId="2" borderId="0" xfId="29" applyNumberFormat="1" applyFont="1" applyFill="1" applyBorder="1" applyAlignment="1" applyProtection="1">
      <alignment horizontal="right" vertical="center" shrinkToFit="1" readingOrder="2"/>
    </xf>
    <xf numFmtId="165" fontId="34" fillId="2" borderId="67" xfId="29" applyNumberFormat="1" applyFont="1" applyFill="1" applyBorder="1" applyAlignment="1" applyProtection="1">
      <alignment horizontal="right" vertical="center" shrinkToFit="1" readingOrder="2"/>
    </xf>
    <xf numFmtId="37" fontId="34" fillId="2" borderId="0" xfId="29" applyNumberFormat="1" applyFont="1" applyFill="1" applyBorder="1" applyAlignment="1" applyProtection="1">
      <alignment horizontal="right" vertical="center" readingOrder="2"/>
    </xf>
    <xf numFmtId="0" fontId="60" fillId="2" borderId="0" xfId="29" applyFont="1" applyFill="1" applyBorder="1" applyAlignment="1" applyProtection="1">
      <alignment horizontal="right" vertical="center" readingOrder="2"/>
    </xf>
    <xf numFmtId="165" fontId="34" fillId="2" borderId="15" xfId="29" applyNumberFormat="1" applyFont="1" applyFill="1" applyBorder="1" applyAlignment="1" applyProtection="1">
      <alignment horizontal="right" vertical="center" readingOrder="2"/>
    </xf>
    <xf numFmtId="165" fontId="32" fillId="2" borderId="15" xfId="29" applyNumberFormat="1" applyFont="1" applyFill="1" applyBorder="1" applyAlignment="1" applyProtection="1">
      <alignment horizontal="right" vertical="center" shrinkToFit="1" readingOrder="2"/>
    </xf>
    <xf numFmtId="0" fontId="34" fillId="4" borderId="0" xfId="24" applyFont="1" applyFill="1" applyAlignment="1" applyProtection="1">
      <alignment horizontal="right" vertical="center" readingOrder="2"/>
    </xf>
    <xf numFmtId="3" fontId="58" fillId="4" borderId="0" xfId="24" applyNumberFormat="1" applyFont="1" applyFill="1" applyAlignment="1" applyProtection="1">
      <alignment horizontal="right" vertical="center" readingOrder="2"/>
    </xf>
    <xf numFmtId="3" fontId="56" fillId="2" borderId="2" xfId="24" applyNumberFormat="1" applyFont="1" applyFill="1" applyBorder="1" applyAlignment="1" applyProtection="1">
      <alignment horizontal="right" vertical="center" readingOrder="2"/>
    </xf>
    <xf numFmtId="3" fontId="56" fillId="2" borderId="0" xfId="24" applyNumberFormat="1" applyFont="1" applyFill="1" applyAlignment="1" applyProtection="1">
      <alignment horizontal="right" vertical="center" readingOrder="2"/>
    </xf>
    <xf numFmtId="0" fontId="34" fillId="2" borderId="0" xfId="24" applyFont="1" applyFill="1" applyAlignment="1" applyProtection="1">
      <alignment horizontal="right" vertical="center" readingOrder="2"/>
    </xf>
    <xf numFmtId="0" fontId="43" fillId="3" borderId="3" xfId="24" applyFont="1" applyFill="1" applyBorder="1" applyAlignment="1" applyProtection="1">
      <alignment horizontal="right" vertical="center" readingOrder="2"/>
    </xf>
    <xf numFmtId="0" fontId="43" fillId="3" borderId="0" xfId="14" applyFont="1" applyFill="1" applyBorder="1" applyAlignment="1" applyProtection="1">
      <alignment horizontal="right" vertical="center" readingOrder="2"/>
    </xf>
    <xf numFmtId="0" fontId="34" fillId="3" borderId="0" xfId="24" applyFont="1" applyFill="1" applyAlignment="1" applyProtection="1">
      <alignment horizontal="right" vertical="center" readingOrder="2"/>
    </xf>
    <xf numFmtId="0" fontId="34" fillId="2" borderId="2" xfId="24" applyFont="1" applyFill="1" applyBorder="1" applyAlignment="1" applyProtection="1">
      <alignment horizontal="right" vertical="center" readingOrder="2"/>
    </xf>
    <xf numFmtId="0" fontId="34" fillId="5" borderId="53" xfId="24" applyFont="1" applyFill="1" applyBorder="1" applyAlignment="1" applyProtection="1">
      <alignment horizontal="right" vertical="center" readingOrder="2"/>
    </xf>
    <xf numFmtId="0" fontId="28" fillId="5" borderId="38" xfId="24" applyFont="1" applyFill="1" applyBorder="1" applyAlignment="1" applyProtection="1">
      <alignment horizontal="right" vertical="center" readingOrder="2"/>
    </xf>
    <xf numFmtId="0" fontId="28" fillId="5" borderId="90" xfId="24" applyFont="1" applyFill="1" applyBorder="1" applyAlignment="1" applyProtection="1">
      <alignment horizontal="right" vertical="center" readingOrder="2"/>
    </xf>
    <xf numFmtId="0" fontId="34" fillId="5" borderId="37" xfId="24" applyFont="1" applyFill="1" applyBorder="1" applyAlignment="1" applyProtection="1">
      <alignment horizontal="right" vertical="center" readingOrder="2"/>
    </xf>
    <xf numFmtId="0" fontId="28" fillId="5" borderId="3" xfId="24" applyFont="1" applyFill="1" applyBorder="1" applyAlignment="1" applyProtection="1">
      <alignment horizontal="right" vertical="center" readingOrder="2"/>
    </xf>
    <xf numFmtId="0" fontId="28" fillId="5" borderId="21" xfId="24" applyFont="1" applyFill="1" applyBorder="1" applyAlignment="1" applyProtection="1">
      <alignment horizontal="right" vertical="center" readingOrder="2"/>
    </xf>
    <xf numFmtId="0" fontId="34" fillId="6" borderId="8" xfId="24" applyFont="1" applyFill="1" applyBorder="1" applyAlignment="1" applyProtection="1">
      <alignment horizontal="right" vertical="center" readingOrder="2"/>
    </xf>
    <xf numFmtId="37" fontId="34" fillId="6" borderId="0" xfId="24" applyNumberFormat="1" applyFont="1" applyFill="1" applyBorder="1" applyAlignment="1" applyProtection="1">
      <alignment horizontal="right" vertical="center" readingOrder="2"/>
    </xf>
    <xf numFmtId="3" fontId="34" fillId="6" borderId="0" xfId="24" applyNumberFormat="1" applyFont="1" applyFill="1" applyBorder="1" applyAlignment="1" applyProtection="1">
      <alignment horizontal="right" vertical="center" readingOrder="2"/>
    </xf>
    <xf numFmtId="37" fontId="34" fillId="6" borderId="9" xfId="24" applyNumberFormat="1" applyFont="1" applyFill="1" applyBorder="1" applyAlignment="1" applyProtection="1">
      <alignment horizontal="right" vertical="center" readingOrder="2"/>
    </xf>
    <xf numFmtId="0" fontId="34" fillId="6" borderId="0" xfId="24" applyFont="1" applyFill="1" applyAlignment="1" applyProtection="1">
      <alignment horizontal="right" vertical="center" readingOrder="2"/>
    </xf>
    <xf numFmtId="165" fontId="34" fillId="8" borderId="10" xfId="24" applyNumberFormat="1" applyFont="1" applyFill="1" applyBorder="1" applyAlignment="1" applyProtection="1">
      <alignment horizontal="right" vertical="center" shrinkToFit="1" readingOrder="2"/>
      <protection locked="0"/>
    </xf>
    <xf numFmtId="165" fontId="34" fillId="6" borderId="10" xfId="24" applyNumberFormat="1" applyFont="1" applyFill="1" applyBorder="1" applyAlignment="1" applyProtection="1">
      <alignment horizontal="right" vertical="center" shrinkToFit="1" readingOrder="2"/>
    </xf>
    <xf numFmtId="165" fontId="34" fillId="6" borderId="0" xfId="24" applyNumberFormat="1" applyFont="1" applyFill="1" applyAlignment="1" applyProtection="1">
      <alignment horizontal="right" vertical="center" shrinkToFit="1" readingOrder="2"/>
    </xf>
    <xf numFmtId="165" fontId="34" fillId="7" borderId="10" xfId="20" applyNumberFormat="1" applyFont="1" applyFill="1" applyBorder="1" applyAlignment="1" applyProtection="1">
      <alignment horizontal="right" vertical="center" shrinkToFit="1" readingOrder="2"/>
    </xf>
    <xf numFmtId="165" fontId="34" fillId="7" borderId="10" xfId="24" applyNumberFormat="1" applyFont="1" applyFill="1" applyBorder="1" applyAlignment="1" applyProtection="1">
      <alignment horizontal="right" vertical="center" shrinkToFit="1" readingOrder="2"/>
    </xf>
    <xf numFmtId="165" fontId="34" fillId="7" borderId="117" xfId="24" applyNumberFormat="1" applyFont="1" applyFill="1" applyBorder="1" applyAlignment="1" applyProtection="1">
      <alignment horizontal="right" vertical="center" shrinkToFit="1" readingOrder="2"/>
    </xf>
    <xf numFmtId="165" fontId="34" fillId="8" borderId="23" xfId="24" applyNumberFormat="1" applyFont="1" applyFill="1" applyBorder="1" applyAlignment="1" applyProtection="1">
      <alignment horizontal="right" vertical="center" shrinkToFit="1" readingOrder="2"/>
      <protection locked="0"/>
    </xf>
    <xf numFmtId="165" fontId="34" fillId="6" borderId="0" xfId="24" applyNumberFormat="1" applyFont="1" applyFill="1" applyBorder="1" applyAlignment="1" applyProtection="1">
      <alignment horizontal="right" vertical="center" shrinkToFit="1" readingOrder="2"/>
    </xf>
    <xf numFmtId="165" fontId="34" fillId="7" borderId="12" xfId="20" applyNumberFormat="1" applyFont="1" applyFill="1" applyBorder="1" applyAlignment="1" applyProtection="1">
      <alignment horizontal="right" vertical="center" shrinkToFit="1" readingOrder="2"/>
    </xf>
    <xf numFmtId="165" fontId="34" fillId="7" borderId="23" xfId="24" applyNumberFormat="1" applyFont="1" applyFill="1" applyBorder="1" applyAlignment="1" applyProtection="1">
      <alignment horizontal="right" vertical="center" shrinkToFit="1" readingOrder="2"/>
    </xf>
    <xf numFmtId="165" fontId="34" fillId="7" borderId="118" xfId="24" applyNumberFormat="1" applyFont="1" applyFill="1" applyBorder="1" applyAlignment="1" applyProtection="1">
      <alignment horizontal="right" vertical="center" shrinkToFit="1" readingOrder="2"/>
    </xf>
    <xf numFmtId="165" fontId="34" fillId="7" borderId="15" xfId="24" applyNumberFormat="1" applyFont="1" applyFill="1" applyBorder="1" applyAlignment="1" applyProtection="1">
      <alignment horizontal="right" vertical="center" shrinkToFit="1" readingOrder="2"/>
    </xf>
    <xf numFmtId="165" fontId="34" fillId="7" borderId="20" xfId="24" applyNumberFormat="1" applyFont="1" applyFill="1" applyBorder="1" applyAlignment="1" applyProtection="1">
      <alignment horizontal="right" vertical="center" shrinkToFit="1" readingOrder="2"/>
    </xf>
    <xf numFmtId="165" fontId="34" fillId="7" borderId="63" xfId="24" applyNumberFormat="1" applyFont="1" applyFill="1" applyBorder="1" applyAlignment="1" applyProtection="1">
      <alignment horizontal="right" vertical="center" shrinkToFit="1" readingOrder="2"/>
    </xf>
    <xf numFmtId="0" fontId="34" fillId="6" borderId="37" xfId="24" applyFont="1" applyFill="1" applyBorder="1" applyAlignment="1" applyProtection="1">
      <alignment horizontal="right" vertical="center" readingOrder="2"/>
    </xf>
    <xf numFmtId="0" fontId="34" fillId="6" borderId="3" xfId="24" applyFont="1" applyFill="1" applyBorder="1" applyAlignment="1" applyProtection="1">
      <alignment horizontal="right" vertical="center" readingOrder="2"/>
    </xf>
    <xf numFmtId="37" fontId="34" fillId="6" borderId="3" xfId="24" applyNumberFormat="1" applyFont="1" applyFill="1" applyBorder="1" applyAlignment="1" applyProtection="1">
      <alignment horizontal="right" vertical="center" readingOrder="2"/>
    </xf>
    <xf numFmtId="3" fontId="34" fillId="6" borderId="3" xfId="24" applyNumberFormat="1" applyFont="1" applyFill="1" applyBorder="1" applyAlignment="1" applyProtection="1">
      <alignment horizontal="right" vertical="center" readingOrder="2"/>
    </xf>
    <xf numFmtId="37" fontId="34" fillId="6" borderId="21" xfId="24" applyNumberFormat="1" applyFont="1" applyFill="1" applyBorder="1" applyAlignment="1" applyProtection="1">
      <alignment horizontal="right" vertical="center" readingOrder="2"/>
    </xf>
    <xf numFmtId="3" fontId="34" fillId="3" borderId="0" xfId="24" applyNumberFormat="1" applyFont="1" applyFill="1" applyAlignment="1" applyProtection="1">
      <alignment horizontal="right" vertical="center" readingOrder="2"/>
    </xf>
    <xf numFmtId="38" fontId="28" fillId="5" borderId="38" xfId="24" applyNumberFormat="1" applyFont="1" applyFill="1" applyBorder="1" applyAlignment="1" applyProtection="1">
      <alignment horizontal="right" vertical="center" readingOrder="2"/>
    </xf>
    <xf numFmtId="0" fontId="40" fillId="2" borderId="0" xfId="24" applyFont="1" applyFill="1" applyAlignment="1" applyProtection="1">
      <alignment horizontal="right" vertical="center" textRotation="180" readingOrder="2"/>
    </xf>
    <xf numFmtId="3" fontId="34" fillId="6" borderId="0" xfId="24" applyNumberFormat="1" applyFont="1" applyFill="1" applyAlignment="1" applyProtection="1">
      <alignment horizontal="right" vertical="center" readingOrder="2"/>
    </xf>
    <xf numFmtId="0" fontId="34" fillId="6" borderId="9" xfId="24" applyFont="1" applyFill="1" applyBorder="1" applyAlignment="1" applyProtection="1">
      <alignment horizontal="right" vertical="center" readingOrder="2"/>
    </xf>
    <xf numFmtId="0" fontId="40" fillId="6" borderId="0" xfId="24" applyFont="1" applyFill="1" applyAlignment="1" applyProtection="1">
      <alignment horizontal="right" vertical="center" readingOrder="2"/>
    </xf>
    <xf numFmtId="38" fontId="34" fillId="6" borderId="0" xfId="24" applyNumberFormat="1" applyFont="1" applyFill="1" applyAlignment="1" applyProtection="1">
      <alignment horizontal="right" vertical="center" readingOrder="2"/>
    </xf>
    <xf numFmtId="38" fontId="34" fillId="6" borderId="9" xfId="24" applyNumberFormat="1" applyFont="1" applyFill="1" applyBorder="1" applyAlignment="1" applyProtection="1">
      <alignment horizontal="right" vertical="center" readingOrder="2"/>
    </xf>
    <xf numFmtId="165" fontId="34" fillId="8" borderId="10" xfId="24" applyNumberFormat="1" applyFont="1" applyFill="1" applyBorder="1" applyAlignment="1" applyProtection="1">
      <alignment horizontal="right" vertical="center" readingOrder="2"/>
      <protection locked="0"/>
    </xf>
    <xf numFmtId="165" fontId="34" fillId="6" borderId="0" xfId="24" applyNumberFormat="1" applyFont="1" applyFill="1" applyAlignment="1" applyProtection="1">
      <alignment horizontal="right" vertical="center" readingOrder="2"/>
    </xf>
    <xf numFmtId="165" fontId="34" fillId="7" borderId="10" xfId="24" applyNumberFormat="1" applyFont="1" applyFill="1" applyBorder="1" applyAlignment="1" applyProtection="1">
      <alignment horizontal="right" vertical="center" readingOrder="2"/>
    </xf>
    <xf numFmtId="165" fontId="34" fillId="8" borderId="11" xfId="24" applyNumberFormat="1" applyFont="1" applyFill="1" applyBorder="1" applyAlignment="1" applyProtection="1">
      <alignment horizontal="right" vertical="center" readingOrder="2"/>
      <protection locked="0"/>
    </xf>
    <xf numFmtId="10" fontId="34" fillId="7" borderId="11" xfId="24" applyNumberFormat="1" applyFont="1" applyFill="1" applyBorder="1" applyAlignment="1" applyProtection="1">
      <alignment horizontal="right" vertical="center" readingOrder="2"/>
    </xf>
    <xf numFmtId="165" fontId="34" fillId="7" borderId="11" xfId="24" applyNumberFormat="1" applyFont="1" applyFill="1" applyBorder="1" applyAlignment="1" applyProtection="1">
      <alignment horizontal="right" vertical="center" readingOrder="2"/>
    </xf>
    <xf numFmtId="10" fontId="34" fillId="7" borderId="119" xfId="24" applyNumberFormat="1" applyFont="1" applyFill="1" applyBorder="1" applyAlignment="1" applyProtection="1">
      <alignment horizontal="right" vertical="center" readingOrder="2"/>
    </xf>
    <xf numFmtId="0" fontId="34" fillId="6" borderId="0" xfId="24" applyFont="1" applyFill="1" applyAlignment="1" applyProtection="1">
      <alignment horizontal="right" vertical="center" readingOrder="2"/>
      <protection locked="0"/>
    </xf>
    <xf numFmtId="165" fontId="34" fillId="8" borderId="12" xfId="24" applyNumberFormat="1" applyFont="1" applyFill="1" applyBorder="1" applyAlignment="1" applyProtection="1">
      <alignment horizontal="right" vertical="center" readingOrder="2"/>
      <protection locked="0"/>
    </xf>
    <xf numFmtId="10" fontId="34" fillId="7" borderId="23" xfId="24" applyNumberFormat="1" applyFont="1" applyFill="1" applyBorder="1" applyAlignment="1" applyProtection="1">
      <alignment horizontal="right" vertical="center" readingOrder="2"/>
    </xf>
    <xf numFmtId="165" fontId="34" fillId="7" borderId="12" xfId="24" applyNumberFormat="1" applyFont="1" applyFill="1" applyBorder="1" applyAlignment="1" applyProtection="1">
      <alignment horizontal="right" vertical="center" readingOrder="2"/>
    </xf>
    <xf numFmtId="10" fontId="34" fillId="7" borderId="120" xfId="24" applyNumberFormat="1" applyFont="1" applyFill="1" applyBorder="1" applyAlignment="1" applyProtection="1">
      <alignment horizontal="right" vertical="center" readingOrder="2"/>
    </xf>
    <xf numFmtId="0" fontId="34" fillId="6" borderId="0" xfId="24" applyFont="1" applyFill="1" applyBorder="1" applyAlignment="1" applyProtection="1">
      <alignment horizontal="right" vertical="center" readingOrder="2"/>
    </xf>
    <xf numFmtId="165" fontId="34" fillId="9" borderId="14" xfId="24" applyNumberFormat="1" applyFont="1" applyFill="1" applyBorder="1" applyAlignment="1" applyProtection="1">
      <alignment horizontal="right" vertical="center" readingOrder="2"/>
    </xf>
    <xf numFmtId="10" fontId="34" fillId="9" borderId="14" xfId="24" applyNumberFormat="1" applyFont="1" applyFill="1" applyBorder="1" applyAlignment="1" applyProtection="1">
      <alignment horizontal="right" vertical="center" readingOrder="2"/>
    </xf>
    <xf numFmtId="10" fontId="34" fillId="9" borderId="121" xfId="24" applyNumberFormat="1" applyFont="1" applyFill="1" applyBorder="1" applyAlignment="1" applyProtection="1">
      <alignment horizontal="right" vertical="center" readingOrder="2"/>
    </xf>
    <xf numFmtId="165" fontId="34" fillId="6" borderId="0" xfId="14" applyNumberFormat="1" applyFont="1" applyFill="1" applyAlignment="1" applyProtection="1">
      <alignment horizontal="right" vertical="center" readingOrder="2"/>
    </xf>
    <xf numFmtId="165" fontId="34" fillId="6" borderId="10" xfId="24" applyNumberFormat="1" applyFont="1" applyFill="1" applyBorder="1" applyAlignment="1" applyProtection="1">
      <alignment horizontal="right" vertical="center" readingOrder="2"/>
    </xf>
    <xf numFmtId="165" fontId="34" fillId="6" borderId="9" xfId="24" applyNumberFormat="1" applyFont="1" applyFill="1" applyBorder="1" applyAlignment="1" applyProtection="1">
      <alignment horizontal="right" vertical="center" readingOrder="2"/>
    </xf>
    <xf numFmtId="165" fontId="34" fillId="8" borderId="23" xfId="24" applyNumberFormat="1" applyFont="1" applyFill="1" applyBorder="1" applyAlignment="1" applyProtection="1">
      <alignment horizontal="right" vertical="center" readingOrder="2"/>
      <protection locked="0"/>
    </xf>
    <xf numFmtId="165" fontId="34" fillId="6" borderId="0" xfId="24" applyNumberFormat="1" applyFont="1" applyFill="1" applyBorder="1" applyAlignment="1" applyProtection="1">
      <alignment horizontal="right" vertical="center" readingOrder="2"/>
    </xf>
    <xf numFmtId="165" fontId="34" fillId="7" borderId="15" xfId="24" applyNumberFormat="1" applyFont="1" applyFill="1" applyBorder="1" applyAlignment="1" applyProtection="1">
      <alignment horizontal="right" vertical="center" readingOrder="2"/>
    </xf>
    <xf numFmtId="10" fontId="34" fillId="7" borderId="15" xfId="24" applyNumberFormat="1" applyFont="1" applyFill="1" applyBorder="1" applyAlignment="1" applyProtection="1">
      <alignment horizontal="right" vertical="center" readingOrder="2"/>
    </xf>
    <xf numFmtId="10" fontId="34" fillId="7" borderId="63" xfId="24" applyNumberFormat="1" applyFont="1" applyFill="1" applyBorder="1" applyAlignment="1" applyProtection="1">
      <alignment horizontal="right" vertical="center" readingOrder="2"/>
    </xf>
    <xf numFmtId="165" fontId="34" fillId="6" borderId="3" xfId="24" applyNumberFormat="1" applyFont="1" applyFill="1" applyBorder="1" applyAlignment="1" applyProtection="1">
      <alignment horizontal="right" vertical="center" readingOrder="2"/>
    </xf>
    <xf numFmtId="38" fontId="34" fillId="6" borderId="3" xfId="24" applyNumberFormat="1" applyFont="1" applyFill="1" applyBorder="1" applyAlignment="1" applyProtection="1">
      <alignment horizontal="right" vertical="center" readingOrder="2"/>
    </xf>
    <xf numFmtId="38" fontId="34" fillId="3" borderId="0" xfId="24" applyNumberFormat="1" applyFont="1" applyFill="1" applyAlignment="1" applyProtection="1">
      <alignment horizontal="right" vertical="center" readingOrder="2"/>
    </xf>
    <xf numFmtId="0" fontId="34" fillId="3" borderId="0" xfId="24" applyFont="1" applyFill="1" applyBorder="1" applyAlignment="1" applyProtection="1">
      <alignment horizontal="right" vertical="center" readingOrder="2"/>
    </xf>
    <xf numFmtId="165" fontId="34" fillId="3" borderId="0" xfId="24" applyNumberFormat="1" applyFont="1" applyFill="1" applyBorder="1" applyAlignment="1" applyProtection="1">
      <alignment horizontal="right" vertical="center" readingOrder="2"/>
    </xf>
    <xf numFmtId="3" fontId="34" fillId="3" borderId="0" xfId="24" applyNumberFormat="1" applyFont="1" applyFill="1" applyBorder="1" applyAlignment="1" applyProtection="1">
      <alignment horizontal="right" vertical="center" readingOrder="2"/>
    </xf>
    <xf numFmtId="38" fontId="34" fillId="3" borderId="0" xfId="24" applyNumberFormat="1" applyFont="1" applyFill="1" applyBorder="1" applyAlignment="1" applyProtection="1">
      <alignment horizontal="right" vertical="center" readingOrder="2"/>
    </xf>
    <xf numFmtId="10" fontId="34" fillId="3" borderId="0" xfId="24" applyNumberFormat="1" applyFont="1" applyFill="1" applyBorder="1" applyAlignment="1" applyProtection="1">
      <alignment horizontal="right" vertical="center" readingOrder="2"/>
    </xf>
    <xf numFmtId="0" fontId="34" fillId="2" borderId="25" xfId="24" applyFont="1" applyFill="1" applyBorder="1" applyAlignment="1" applyProtection="1">
      <alignment horizontal="right" vertical="center" readingOrder="2"/>
    </xf>
    <xf numFmtId="165" fontId="34" fillId="2" borderId="25" xfId="24" applyNumberFormat="1" applyFont="1" applyFill="1" applyBorder="1" applyAlignment="1" applyProtection="1">
      <alignment horizontal="right" vertical="center" readingOrder="2"/>
    </xf>
    <xf numFmtId="3" fontId="34" fillId="2" borderId="25" xfId="24" applyNumberFormat="1" applyFont="1" applyFill="1" applyBorder="1" applyAlignment="1" applyProtection="1">
      <alignment horizontal="right" vertical="center" readingOrder="2"/>
    </xf>
    <xf numFmtId="38" fontId="34" fillId="2" borderId="25" xfId="24" applyNumberFormat="1" applyFont="1" applyFill="1" applyBorder="1" applyAlignment="1" applyProtection="1">
      <alignment horizontal="right" vertical="center" readingOrder="2"/>
    </xf>
    <xf numFmtId="10" fontId="34" fillId="2" borderId="25" xfId="24" applyNumberFormat="1" applyFont="1" applyFill="1" applyBorder="1" applyAlignment="1" applyProtection="1">
      <alignment horizontal="right" vertical="center" readingOrder="2"/>
    </xf>
    <xf numFmtId="165" fontId="34" fillId="2" borderId="0" xfId="24" applyNumberFormat="1" applyFont="1" applyFill="1" applyAlignment="1" applyProtection="1">
      <alignment horizontal="right" vertical="center" readingOrder="2"/>
    </xf>
    <xf numFmtId="3" fontId="34" fillId="2" borderId="0" xfId="24" applyNumberFormat="1" applyFont="1" applyFill="1" applyAlignment="1" applyProtection="1">
      <alignment horizontal="right" vertical="center" readingOrder="2"/>
    </xf>
    <xf numFmtId="38" fontId="34" fillId="2" borderId="0" xfId="24" applyNumberFormat="1" applyFont="1" applyFill="1" applyAlignment="1" applyProtection="1">
      <alignment horizontal="right" vertical="center" readingOrder="2"/>
    </xf>
    <xf numFmtId="10" fontId="34" fillId="2" borderId="0" xfId="24" applyNumberFormat="1" applyFont="1" applyFill="1" applyAlignment="1" applyProtection="1">
      <alignment horizontal="right" vertical="center" readingOrder="2"/>
    </xf>
    <xf numFmtId="165" fontId="34" fillId="2" borderId="0" xfId="24" applyNumberFormat="1" applyFont="1" applyFill="1" applyAlignment="1" applyProtection="1">
      <alignment horizontal="right" vertical="center" readingOrder="2"/>
      <protection locked="0"/>
    </xf>
    <xf numFmtId="0" fontId="32" fillId="2" borderId="42" xfId="24" applyFont="1" applyFill="1" applyBorder="1" applyAlignment="1" applyProtection="1">
      <alignment horizontal="right" vertical="center" readingOrder="2"/>
    </xf>
    <xf numFmtId="0" fontId="35" fillId="2" borderId="67" xfId="24" applyFont="1" applyFill="1" applyBorder="1" applyAlignment="1" applyProtection="1">
      <alignment horizontal="right" vertical="center" readingOrder="2"/>
    </xf>
    <xf numFmtId="3" fontId="35" fillId="2" borderId="67" xfId="24" applyNumberFormat="1" applyFont="1" applyFill="1" applyBorder="1" applyAlignment="1" applyProtection="1">
      <alignment horizontal="right" vertical="center" readingOrder="2"/>
    </xf>
    <xf numFmtId="0" fontId="35" fillId="2" borderId="40" xfId="24" applyFont="1" applyFill="1" applyBorder="1" applyAlignment="1" applyProtection="1">
      <alignment horizontal="left" vertical="center" readingOrder="2"/>
    </xf>
    <xf numFmtId="0" fontId="35" fillId="2" borderId="40" xfId="24" applyFont="1" applyFill="1" applyBorder="1" applyAlignment="1" applyProtection="1">
      <alignment horizontal="center" vertical="center" readingOrder="2"/>
    </xf>
    <xf numFmtId="0" fontId="35" fillId="2" borderId="43" xfId="24" applyFont="1" applyFill="1" applyBorder="1" applyAlignment="1" applyProtection="1">
      <alignment horizontal="right" vertical="center" readingOrder="2"/>
    </xf>
    <xf numFmtId="0" fontId="32" fillId="2" borderId="45" xfId="24" applyFont="1" applyFill="1" applyBorder="1" applyAlignment="1" applyProtection="1">
      <alignment horizontal="right" vertical="center" readingOrder="2"/>
    </xf>
    <xf numFmtId="0" fontId="35" fillId="2" borderId="24" xfId="24" applyFont="1" applyFill="1" applyBorder="1" applyAlignment="1" applyProtection="1">
      <alignment horizontal="right" vertical="center" readingOrder="2"/>
    </xf>
    <xf numFmtId="0" fontId="35" fillId="2" borderId="47" xfId="24" applyFont="1" applyFill="1" applyBorder="1" applyAlignment="1" applyProtection="1">
      <alignment horizontal="right" vertical="center" readingOrder="2"/>
    </xf>
    <xf numFmtId="0" fontId="32" fillId="2" borderId="67" xfId="14" applyFont="1" applyFill="1" applyBorder="1" applyAlignment="1" applyProtection="1">
      <alignment horizontal="right" vertical="center" readingOrder="2"/>
    </xf>
    <xf numFmtId="37" fontId="32" fillId="2" borderId="67" xfId="24" applyNumberFormat="1" applyFont="1" applyFill="1" applyBorder="1" applyAlignment="1" applyProtection="1">
      <alignment horizontal="right" vertical="center" readingOrder="2"/>
    </xf>
    <xf numFmtId="3" fontId="32" fillId="2" borderId="67" xfId="24" applyNumberFormat="1" applyFont="1" applyFill="1" applyBorder="1" applyAlignment="1" applyProtection="1">
      <alignment horizontal="right" vertical="center" readingOrder="2"/>
    </xf>
    <xf numFmtId="37" fontId="32" fillId="2" borderId="43" xfId="24" applyNumberFormat="1" applyFont="1" applyFill="1" applyBorder="1" applyAlignment="1" applyProtection="1">
      <alignment horizontal="right" vertical="center" readingOrder="2"/>
    </xf>
    <xf numFmtId="0" fontId="32" fillId="2" borderId="29" xfId="24" applyFont="1" applyFill="1" applyBorder="1" applyAlignment="1" applyProtection="1">
      <alignment horizontal="right" vertical="center" readingOrder="2"/>
    </xf>
    <xf numFmtId="165" fontId="32" fillId="2" borderId="0" xfId="24" applyNumberFormat="1" applyFont="1" applyFill="1" applyBorder="1" applyAlignment="1" applyProtection="1">
      <alignment horizontal="right" vertical="center" shrinkToFit="1" readingOrder="2"/>
    </xf>
    <xf numFmtId="165" fontId="32" fillId="2" borderId="48" xfId="24" applyNumberFormat="1" applyFont="1" applyFill="1" applyBorder="1" applyAlignment="1" applyProtection="1">
      <alignment horizontal="right" vertical="center" shrinkToFit="1" readingOrder="2"/>
    </xf>
    <xf numFmtId="165" fontId="32" fillId="2" borderId="47" xfId="24" applyNumberFormat="1" applyFont="1" applyFill="1" applyBorder="1" applyAlignment="1" applyProtection="1">
      <alignment horizontal="right" vertical="center" shrinkToFit="1" readingOrder="2"/>
    </xf>
    <xf numFmtId="0" fontId="32" fillId="2" borderId="24" xfId="24" applyFont="1" applyFill="1" applyBorder="1" applyAlignment="1" applyProtection="1">
      <alignment horizontal="right" vertical="center" readingOrder="2"/>
    </xf>
    <xf numFmtId="37" fontId="32" fillId="2" borderId="24" xfId="24" applyNumberFormat="1" applyFont="1" applyFill="1" applyBorder="1" applyAlignment="1" applyProtection="1">
      <alignment horizontal="right" vertical="center" readingOrder="2"/>
    </xf>
    <xf numFmtId="3" fontId="32" fillId="2" borderId="24" xfId="24" applyNumberFormat="1" applyFont="1" applyFill="1" applyBorder="1" applyAlignment="1" applyProtection="1">
      <alignment horizontal="right" vertical="center" readingOrder="2"/>
    </xf>
    <xf numFmtId="37" fontId="32" fillId="2" borderId="47" xfId="24" applyNumberFormat="1" applyFont="1" applyFill="1" applyBorder="1" applyAlignment="1" applyProtection="1">
      <alignment horizontal="right" vertical="center" readingOrder="2"/>
    </xf>
    <xf numFmtId="0" fontId="32" fillId="2" borderId="0" xfId="24" applyFont="1" applyFill="1" applyAlignment="1" applyProtection="1">
      <alignment horizontal="right" vertical="center" readingOrder="2"/>
    </xf>
    <xf numFmtId="3" fontId="32" fillId="2" borderId="0" xfId="24" applyNumberFormat="1" applyFont="1" applyFill="1" applyAlignment="1" applyProtection="1">
      <alignment horizontal="right" vertical="center" readingOrder="2"/>
    </xf>
    <xf numFmtId="38" fontId="35" fillId="2" borderId="67" xfId="24" applyNumberFormat="1" applyFont="1" applyFill="1" applyBorder="1" applyAlignment="1" applyProtection="1">
      <alignment horizontal="right" vertical="center" readingOrder="2"/>
    </xf>
    <xf numFmtId="0" fontId="32" fillId="2" borderId="67" xfId="24" applyFont="1" applyFill="1" applyBorder="1" applyAlignment="1" applyProtection="1">
      <alignment horizontal="right" vertical="center" readingOrder="2"/>
    </xf>
    <xf numFmtId="0" fontId="32" fillId="2" borderId="43" xfId="24" applyFont="1" applyFill="1" applyBorder="1" applyAlignment="1" applyProtection="1">
      <alignment horizontal="right" vertical="center" readingOrder="2"/>
    </xf>
    <xf numFmtId="0" fontId="35" fillId="2" borderId="29" xfId="24" applyNumberFormat="1" applyFont="1" applyFill="1" applyBorder="1" applyAlignment="1" applyProtection="1">
      <alignment horizontal="right" vertical="center" readingOrder="2"/>
    </xf>
    <xf numFmtId="0" fontId="35" fillId="2" borderId="0" xfId="24" applyNumberFormat="1" applyFont="1" applyFill="1" applyBorder="1" applyAlignment="1" applyProtection="1">
      <alignment horizontal="right" vertical="center" readingOrder="2"/>
    </xf>
    <xf numFmtId="38" fontId="32" fillId="2" borderId="0" xfId="24" applyNumberFormat="1" applyFont="1" applyFill="1" applyBorder="1" applyAlignment="1" applyProtection="1">
      <alignment horizontal="right" vertical="center" readingOrder="2"/>
    </xf>
    <xf numFmtId="3" fontId="32" fillId="2" borderId="0" xfId="24" applyNumberFormat="1" applyFont="1" applyFill="1" applyBorder="1" applyAlignment="1" applyProtection="1">
      <alignment horizontal="right" vertical="center" readingOrder="2"/>
    </xf>
    <xf numFmtId="38" fontId="32" fillId="2" borderId="48" xfId="24" applyNumberFormat="1" applyFont="1" applyFill="1" applyBorder="1" applyAlignment="1" applyProtection="1">
      <alignment horizontal="right" vertical="center" readingOrder="2"/>
    </xf>
    <xf numFmtId="166" fontId="32" fillId="2" borderId="29" xfId="24" applyNumberFormat="1" applyFont="1" applyFill="1" applyBorder="1" applyAlignment="1" applyProtection="1">
      <alignment horizontal="right" vertical="center" readingOrder="2"/>
    </xf>
    <xf numFmtId="0" fontId="32" fillId="2" borderId="0" xfId="24" applyNumberFormat="1" applyFont="1" applyFill="1" applyBorder="1" applyAlignment="1" applyProtection="1">
      <alignment horizontal="right" vertical="center" readingOrder="2"/>
    </xf>
    <xf numFmtId="165" fontId="32" fillId="2" borderId="0" xfId="24" applyNumberFormat="1" applyFont="1" applyFill="1" applyBorder="1" applyAlignment="1" applyProtection="1">
      <alignment horizontal="right" vertical="center" readingOrder="2"/>
    </xf>
    <xf numFmtId="10" fontId="32" fillId="2" borderId="0" xfId="24" applyNumberFormat="1" applyFont="1" applyFill="1" applyBorder="1" applyAlignment="1" applyProtection="1">
      <alignment horizontal="right" vertical="center" readingOrder="2"/>
    </xf>
    <xf numFmtId="10" fontId="32" fillId="2" borderId="48" xfId="24" applyNumberFormat="1" applyFont="1" applyFill="1" applyBorder="1" applyAlignment="1" applyProtection="1">
      <alignment horizontal="right" vertical="center" readingOrder="2"/>
    </xf>
    <xf numFmtId="165" fontId="32" fillId="2" borderId="24" xfId="24" applyNumberFormat="1" applyFont="1" applyFill="1" applyBorder="1" applyAlignment="1" applyProtection="1">
      <alignment horizontal="right" vertical="center" readingOrder="2"/>
    </xf>
    <xf numFmtId="0" fontId="32" fillId="2" borderId="29" xfId="24" applyNumberFormat="1" applyFont="1" applyFill="1" applyBorder="1" applyAlignment="1" applyProtection="1">
      <alignment horizontal="right" vertical="center" readingOrder="2"/>
    </xf>
    <xf numFmtId="165" fontId="32" fillId="2" borderId="14" xfId="24" applyNumberFormat="1" applyFont="1" applyFill="1" applyBorder="1" applyAlignment="1" applyProtection="1">
      <alignment horizontal="right" vertical="center" readingOrder="2"/>
    </xf>
    <xf numFmtId="10" fontId="32" fillId="2" borderId="14" xfId="24" applyNumberFormat="1" applyFont="1" applyFill="1" applyBorder="1" applyAlignment="1" applyProtection="1">
      <alignment horizontal="right" vertical="center" readingOrder="2"/>
    </xf>
    <xf numFmtId="10" fontId="32" fillId="2" borderId="122" xfId="24" applyNumberFormat="1" applyFont="1" applyFill="1" applyBorder="1" applyAlignment="1" applyProtection="1">
      <alignment horizontal="right" vertical="center" readingOrder="2"/>
    </xf>
    <xf numFmtId="165" fontId="32" fillId="2" borderId="0" xfId="14" applyNumberFormat="1" applyFont="1" applyFill="1" applyBorder="1" applyAlignment="1" applyProtection="1">
      <alignment horizontal="right" vertical="center" readingOrder="2"/>
    </xf>
    <xf numFmtId="0" fontId="32" fillId="2" borderId="45" xfId="24" applyNumberFormat="1" applyFont="1" applyFill="1" applyBorder="1" applyAlignment="1" applyProtection="1">
      <alignment horizontal="right" vertical="center" readingOrder="2"/>
    </xf>
    <xf numFmtId="0" fontId="32" fillId="2" borderId="24" xfId="24" applyNumberFormat="1" applyFont="1" applyFill="1" applyBorder="1" applyAlignment="1" applyProtection="1">
      <alignment horizontal="right" vertical="center" readingOrder="2"/>
    </xf>
    <xf numFmtId="38" fontId="32" fillId="2" borderId="24" xfId="24" applyNumberFormat="1" applyFont="1" applyFill="1" applyBorder="1" applyAlignment="1" applyProtection="1">
      <alignment horizontal="right" vertical="center" readingOrder="2"/>
    </xf>
    <xf numFmtId="0" fontId="96" fillId="4" borderId="0" xfId="24" applyFont="1" applyFill="1" applyAlignment="1" applyProtection="1">
      <alignment horizontal="right" vertical="center" readingOrder="2"/>
    </xf>
    <xf numFmtId="0" fontId="56" fillId="4" borderId="0" xfId="24" applyFont="1" applyFill="1" applyAlignment="1" applyProtection="1">
      <alignment horizontal="right" vertical="center" readingOrder="2"/>
    </xf>
    <xf numFmtId="0" fontId="38" fillId="4" borderId="0" xfId="24" applyFont="1" applyFill="1" applyAlignment="1" applyProtection="1">
      <alignment horizontal="center" vertical="center" readingOrder="2"/>
    </xf>
    <xf numFmtId="3" fontId="56" fillId="3" borderId="0" xfId="24" applyNumberFormat="1" applyFont="1" applyFill="1" applyAlignment="1" applyProtection="1">
      <alignment horizontal="right" vertical="center" readingOrder="2"/>
    </xf>
    <xf numFmtId="0" fontId="68" fillId="5" borderId="53" xfId="24" applyFont="1" applyFill="1" applyBorder="1" applyAlignment="1" applyProtection="1">
      <alignment horizontal="right" vertical="center" readingOrder="2"/>
    </xf>
    <xf numFmtId="0" fontId="68" fillId="5" borderId="38" xfId="14" applyFont="1" applyFill="1" applyBorder="1" applyAlignment="1" applyProtection="1">
      <alignment horizontal="right" vertical="center" readingOrder="2"/>
    </xf>
    <xf numFmtId="0" fontId="68" fillId="5" borderId="37" xfId="24" applyFont="1" applyFill="1" applyBorder="1" applyAlignment="1" applyProtection="1">
      <alignment horizontal="right" vertical="center" readingOrder="2"/>
    </xf>
    <xf numFmtId="0" fontId="68" fillId="5" borderId="3" xfId="14" applyFont="1" applyFill="1" applyBorder="1" applyAlignment="1" applyProtection="1">
      <alignment horizontal="right" vertical="center" readingOrder="2"/>
    </xf>
    <xf numFmtId="37" fontId="34" fillId="6" borderId="0" xfId="24" applyNumberFormat="1" applyFont="1" applyFill="1" applyAlignment="1" applyProtection="1">
      <alignment horizontal="right" vertical="center" readingOrder="2"/>
    </xf>
    <xf numFmtId="10" fontId="34" fillId="6" borderId="0" xfId="24" applyNumberFormat="1" applyFont="1" applyFill="1" applyAlignment="1" applyProtection="1">
      <alignment horizontal="right" vertical="center" readingOrder="2"/>
    </xf>
    <xf numFmtId="10" fontId="34" fillId="6" borderId="0" xfId="24" applyNumberFormat="1" applyFont="1" applyFill="1" applyAlignment="1" applyProtection="1">
      <alignment horizontal="right" vertical="center" shrinkToFit="1" readingOrder="2"/>
    </xf>
    <xf numFmtId="10" fontId="34" fillId="7" borderId="10" xfId="33" applyNumberFormat="1" applyFont="1" applyFill="1" applyBorder="1" applyAlignment="1" applyProtection="1">
      <alignment horizontal="right" vertical="center" shrinkToFit="1" readingOrder="2"/>
    </xf>
    <xf numFmtId="10" fontId="34" fillId="7" borderId="117" xfId="33" applyNumberFormat="1" applyFont="1" applyFill="1" applyBorder="1" applyAlignment="1" applyProtection="1">
      <alignment horizontal="right" vertical="center" readingOrder="2"/>
    </xf>
    <xf numFmtId="165" fontId="34" fillId="7" borderId="11" xfId="24" applyNumberFormat="1" applyFont="1" applyFill="1" applyBorder="1" applyAlignment="1" applyProtection="1">
      <alignment horizontal="right" vertical="center" shrinkToFit="1" readingOrder="2"/>
    </xf>
    <xf numFmtId="10" fontId="34" fillId="7" borderId="11" xfId="33" applyNumberFormat="1" applyFont="1" applyFill="1" applyBorder="1" applyAlignment="1" applyProtection="1">
      <alignment horizontal="right" vertical="center" shrinkToFit="1" readingOrder="2"/>
    </xf>
    <xf numFmtId="10" fontId="34" fillId="7" borderId="119" xfId="33" applyNumberFormat="1" applyFont="1" applyFill="1" applyBorder="1" applyAlignment="1" applyProtection="1">
      <alignment horizontal="right" vertical="center" readingOrder="2"/>
    </xf>
    <xf numFmtId="10" fontId="34" fillId="7" borderId="23" xfId="33" applyNumberFormat="1" applyFont="1" applyFill="1" applyBorder="1" applyAlignment="1" applyProtection="1">
      <alignment horizontal="right" vertical="center" shrinkToFit="1" readingOrder="2"/>
    </xf>
    <xf numFmtId="10" fontId="34" fillId="7" borderId="120" xfId="33" applyNumberFormat="1" applyFont="1" applyFill="1" applyBorder="1" applyAlignment="1" applyProtection="1">
      <alignment horizontal="right" vertical="center" readingOrder="2"/>
    </xf>
    <xf numFmtId="0" fontId="34" fillId="6" borderId="0" xfId="24" applyFont="1" applyFill="1" applyAlignment="1" applyProtection="1">
      <alignment horizontal="right" vertical="center" shrinkToFit="1" readingOrder="2"/>
    </xf>
    <xf numFmtId="0" fontId="34" fillId="6" borderId="9" xfId="24" applyNumberFormat="1" applyFont="1" applyFill="1" applyBorder="1" applyAlignment="1" applyProtection="1">
      <alignment horizontal="right" vertical="center" readingOrder="2"/>
    </xf>
    <xf numFmtId="165" fontId="34" fillId="9" borderId="15" xfId="24" applyNumberFormat="1" applyFont="1" applyFill="1" applyBorder="1" applyAlignment="1" applyProtection="1">
      <alignment horizontal="right" vertical="center" shrinkToFit="1" readingOrder="2"/>
    </xf>
    <xf numFmtId="10" fontId="34" fillId="9" borderId="15" xfId="33" applyNumberFormat="1" applyFont="1" applyFill="1" applyBorder="1" applyAlignment="1" applyProtection="1">
      <alignment horizontal="right" vertical="center" shrinkToFit="1" readingOrder="2"/>
    </xf>
    <xf numFmtId="10" fontId="34" fillId="9" borderId="63" xfId="33" applyNumberFormat="1" applyFont="1" applyFill="1" applyBorder="1" applyAlignment="1" applyProtection="1">
      <alignment horizontal="right" vertical="center" readingOrder="2"/>
    </xf>
    <xf numFmtId="0" fontId="40" fillId="6" borderId="3" xfId="24" applyFont="1" applyFill="1" applyBorder="1" applyAlignment="1" applyProtection="1">
      <alignment horizontal="right" vertical="center" readingOrder="2"/>
    </xf>
    <xf numFmtId="0" fontId="40" fillId="6" borderId="21" xfId="24" applyFont="1" applyFill="1" applyBorder="1" applyAlignment="1" applyProtection="1">
      <alignment horizontal="right" vertical="center" readingOrder="2"/>
    </xf>
    <xf numFmtId="165" fontId="34" fillId="3" borderId="0" xfId="24" applyNumberFormat="1" applyFont="1" applyFill="1" applyAlignment="1" applyProtection="1">
      <alignment horizontal="right" vertical="center" readingOrder="2"/>
    </xf>
    <xf numFmtId="10" fontId="34" fillId="3" borderId="0" xfId="24" applyNumberFormat="1" applyFont="1" applyFill="1" applyAlignment="1" applyProtection="1">
      <alignment horizontal="right" vertical="center" readingOrder="2"/>
    </xf>
    <xf numFmtId="167" fontId="34" fillId="3" borderId="0" xfId="24" applyNumberFormat="1" applyFont="1" applyFill="1" applyBorder="1" applyAlignment="1" applyProtection="1">
      <alignment horizontal="right" vertical="center" readingOrder="2"/>
    </xf>
    <xf numFmtId="37" fontId="34" fillId="3" borderId="0" xfId="24" applyNumberFormat="1" applyFont="1" applyFill="1" applyAlignment="1" applyProtection="1">
      <alignment horizontal="right" vertical="center" readingOrder="2"/>
    </xf>
    <xf numFmtId="0" fontId="35" fillId="2" borderId="40" xfId="24" applyFont="1" applyFill="1" applyBorder="1" applyAlignment="1" applyProtection="1">
      <alignment horizontal="right" vertical="center" readingOrder="2"/>
    </xf>
    <xf numFmtId="37" fontId="32" fillId="2" borderId="0" xfId="24" applyNumberFormat="1" applyFont="1" applyFill="1" applyBorder="1" applyAlignment="1" applyProtection="1">
      <alignment horizontal="right" vertical="center" readingOrder="2"/>
    </xf>
    <xf numFmtId="10" fontId="32" fillId="2" borderId="0" xfId="24" applyNumberFormat="1" applyFont="1" applyFill="1" applyBorder="1" applyAlignment="1" applyProtection="1">
      <alignment horizontal="right" vertical="center" shrinkToFit="1" readingOrder="2"/>
    </xf>
    <xf numFmtId="10" fontId="32" fillId="2" borderId="0" xfId="33" applyNumberFormat="1" applyFont="1" applyFill="1" applyBorder="1" applyAlignment="1" applyProtection="1">
      <alignment horizontal="right" vertical="center" shrinkToFit="1" readingOrder="2"/>
    </xf>
    <xf numFmtId="10" fontId="32" fillId="2" borderId="48" xfId="33" applyNumberFormat="1" applyFont="1" applyFill="1" applyBorder="1" applyAlignment="1" applyProtection="1">
      <alignment horizontal="right" vertical="center" readingOrder="2"/>
    </xf>
    <xf numFmtId="167" fontId="32" fillId="2" borderId="48" xfId="33" applyNumberFormat="1" applyFont="1" applyFill="1" applyBorder="1" applyAlignment="1" applyProtection="1">
      <alignment horizontal="right" vertical="center" readingOrder="2"/>
    </xf>
    <xf numFmtId="0" fontId="32" fillId="2" borderId="0" xfId="24" applyFont="1" applyFill="1" applyBorder="1" applyAlignment="1" applyProtection="1">
      <alignment horizontal="right" vertical="center" shrinkToFit="1" readingOrder="2"/>
    </xf>
    <xf numFmtId="0" fontId="32" fillId="2" borderId="48" xfId="24" applyFont="1" applyFill="1" applyBorder="1" applyAlignment="1" applyProtection="1">
      <alignment horizontal="right" vertical="center" readingOrder="2"/>
    </xf>
    <xf numFmtId="10" fontId="32" fillId="2" borderId="15" xfId="33" applyNumberFormat="1" applyFont="1" applyFill="1" applyBorder="1" applyAlignment="1" applyProtection="1">
      <alignment horizontal="right" vertical="center" shrinkToFit="1" readingOrder="2"/>
    </xf>
    <xf numFmtId="0" fontId="34" fillId="2" borderId="45" xfId="24" applyFont="1" applyFill="1" applyBorder="1" applyAlignment="1" applyProtection="1">
      <alignment horizontal="right" vertical="center" readingOrder="2"/>
    </xf>
    <xf numFmtId="0" fontId="34" fillId="2" borderId="24" xfId="24" applyFont="1" applyFill="1" applyBorder="1" applyAlignment="1" applyProtection="1">
      <alignment horizontal="right" vertical="center" readingOrder="2"/>
    </xf>
    <xf numFmtId="3" fontId="34" fillId="2" borderId="24" xfId="24" applyNumberFormat="1" applyFont="1" applyFill="1" applyBorder="1" applyAlignment="1" applyProtection="1">
      <alignment horizontal="right" vertical="center" readingOrder="2"/>
    </xf>
    <xf numFmtId="0" fontId="34" fillId="2" borderId="47" xfId="24" applyFont="1" applyFill="1" applyBorder="1" applyAlignment="1" applyProtection="1">
      <alignment horizontal="right" vertical="center" readingOrder="2"/>
    </xf>
    <xf numFmtId="0" fontId="34" fillId="4" borderId="0" xfId="27" applyFont="1" applyFill="1" applyAlignment="1">
      <alignment horizontal="right" vertical="center" readingOrder="2"/>
    </xf>
    <xf numFmtId="3" fontId="97" fillId="4" borderId="0" xfId="24" applyNumberFormat="1" applyFont="1" applyFill="1" applyAlignment="1">
      <alignment horizontal="right" vertical="center" readingOrder="2"/>
    </xf>
    <xf numFmtId="0" fontId="34" fillId="2" borderId="2" xfId="27" applyFont="1" applyFill="1" applyBorder="1" applyAlignment="1">
      <alignment horizontal="right" vertical="center" readingOrder="2"/>
    </xf>
    <xf numFmtId="0" fontId="34" fillId="2" borderId="0" xfId="27" applyFont="1" applyFill="1" applyAlignment="1">
      <alignment horizontal="right" vertical="center" readingOrder="2"/>
    </xf>
    <xf numFmtId="0" fontId="43" fillId="3" borderId="0" xfId="27" applyFont="1" applyFill="1" applyBorder="1" applyAlignment="1">
      <alignment horizontal="right" vertical="center" readingOrder="2"/>
    </xf>
    <xf numFmtId="0" fontId="34" fillId="3" borderId="0" xfId="27" applyFont="1" applyFill="1" applyAlignment="1">
      <alignment horizontal="right" vertical="center" readingOrder="2"/>
    </xf>
    <xf numFmtId="0" fontId="68" fillId="5" borderId="86" xfId="27" applyFont="1" applyFill="1" applyBorder="1" applyAlignment="1">
      <alignment horizontal="right" vertical="center" readingOrder="2"/>
    </xf>
    <xf numFmtId="0" fontId="68" fillId="5" borderId="27" xfId="27" applyFont="1" applyFill="1" applyBorder="1" applyAlignment="1">
      <alignment horizontal="right" vertical="center" readingOrder="2"/>
    </xf>
    <xf numFmtId="0" fontId="69" fillId="5" borderId="38" xfId="27" applyFont="1" applyFill="1" applyBorder="1" applyAlignment="1">
      <alignment horizontal="right" vertical="center" readingOrder="2"/>
    </xf>
    <xf numFmtId="0" fontId="68" fillId="5" borderId="26" xfId="27" applyFont="1" applyFill="1" applyBorder="1" applyAlignment="1">
      <alignment horizontal="center" vertical="center" readingOrder="2"/>
    </xf>
    <xf numFmtId="0" fontId="68" fillId="5" borderId="27" xfId="27" applyFont="1" applyFill="1" applyBorder="1" applyAlignment="1">
      <alignment horizontal="center" vertical="center" readingOrder="2"/>
    </xf>
    <xf numFmtId="0" fontId="68" fillId="5" borderId="123" xfId="27" applyFont="1" applyFill="1" applyBorder="1" applyAlignment="1">
      <alignment horizontal="right" vertical="center" readingOrder="2"/>
    </xf>
    <xf numFmtId="0" fontId="68" fillId="5" borderId="26" xfId="27" applyFont="1" applyFill="1" applyBorder="1" applyAlignment="1">
      <alignment horizontal="right" vertical="center" readingOrder="2"/>
    </xf>
    <xf numFmtId="0" fontId="68" fillId="5" borderId="27" xfId="14" applyFont="1" applyFill="1" applyBorder="1" applyAlignment="1">
      <alignment horizontal="center" vertical="center" readingOrder="2"/>
    </xf>
    <xf numFmtId="0" fontId="68" fillId="5" borderId="28" xfId="14" applyFont="1" applyFill="1" applyBorder="1" applyAlignment="1">
      <alignment horizontal="right" vertical="center" readingOrder="2"/>
    </xf>
    <xf numFmtId="0" fontId="68" fillId="5" borderId="87" xfId="27" applyFont="1" applyFill="1" applyBorder="1" applyAlignment="1">
      <alignment horizontal="right" vertical="center" readingOrder="2"/>
    </xf>
    <xf numFmtId="0" fontId="68" fillId="5" borderId="31" xfId="27" applyFont="1" applyFill="1" applyBorder="1" applyAlignment="1">
      <alignment horizontal="right" vertical="center" readingOrder="2"/>
    </xf>
    <xf numFmtId="0" fontId="68" fillId="5" borderId="124" xfId="27" applyFont="1" applyFill="1" applyBorder="1" applyAlignment="1">
      <alignment horizontal="right" vertical="center" readingOrder="2"/>
    </xf>
    <xf numFmtId="0" fontId="68" fillId="5" borderId="125" xfId="27" applyFont="1" applyFill="1" applyBorder="1" applyAlignment="1">
      <alignment horizontal="right" vertical="center" readingOrder="2"/>
    </xf>
    <xf numFmtId="0" fontId="68" fillId="5" borderId="34" xfId="27" applyFont="1" applyFill="1" applyBorder="1" applyAlignment="1">
      <alignment horizontal="right" vertical="center" readingOrder="2"/>
    </xf>
    <xf numFmtId="0" fontId="68" fillId="5" borderId="126" xfId="27" applyFont="1" applyFill="1" applyBorder="1" applyAlignment="1">
      <alignment horizontal="right" vertical="center" readingOrder="2"/>
    </xf>
    <xf numFmtId="0" fontId="60" fillId="6" borderId="8" xfId="27" applyFont="1" applyFill="1" applyBorder="1" applyAlignment="1">
      <alignment horizontal="right" vertical="center" readingOrder="2"/>
    </xf>
    <xf numFmtId="37" fontId="34" fillId="6" borderId="0" xfId="27" applyNumberFormat="1" applyFont="1" applyFill="1" applyBorder="1" applyAlignment="1">
      <alignment horizontal="right" vertical="center" readingOrder="2"/>
    </xf>
    <xf numFmtId="37" fontId="34" fillId="6" borderId="9" xfId="27" applyNumberFormat="1" applyFont="1" applyFill="1" applyBorder="1" applyAlignment="1">
      <alignment horizontal="right" vertical="center" readingOrder="2"/>
    </xf>
    <xf numFmtId="0" fontId="34" fillId="6" borderId="8" xfId="27" applyFont="1" applyFill="1" applyBorder="1" applyAlignment="1">
      <alignment horizontal="right" vertical="center" readingOrder="2"/>
    </xf>
    <xf numFmtId="165" fontId="34" fillId="7" borderId="68" xfId="27" applyNumberFormat="1" applyFont="1" applyFill="1" applyBorder="1" applyAlignment="1">
      <alignment horizontal="right" vertical="center" shrinkToFit="1" readingOrder="2"/>
    </xf>
    <xf numFmtId="165" fontId="34" fillId="7" borderId="69" xfId="27" applyNumberFormat="1" applyFont="1" applyFill="1" applyBorder="1" applyAlignment="1">
      <alignment horizontal="right" vertical="center" shrinkToFit="1" readingOrder="2"/>
    </xf>
    <xf numFmtId="165" fontId="34" fillId="7" borderId="101" xfId="27" applyNumberFormat="1" applyFont="1" applyFill="1" applyBorder="1" applyAlignment="1">
      <alignment horizontal="right" vertical="center" shrinkToFit="1" readingOrder="2"/>
    </xf>
    <xf numFmtId="165" fontId="34" fillId="7" borderId="70" xfId="27" applyNumberFormat="1" applyFont="1" applyFill="1" applyBorder="1" applyAlignment="1">
      <alignment horizontal="right" vertical="center" shrinkToFit="1" readingOrder="2"/>
    </xf>
    <xf numFmtId="165" fontId="34" fillId="7" borderId="71" xfId="27" applyNumberFormat="1" applyFont="1" applyFill="1" applyBorder="1" applyAlignment="1">
      <alignment horizontal="right" vertical="center" shrinkToFit="1" readingOrder="2"/>
    </xf>
    <xf numFmtId="165" fontId="34" fillId="7" borderId="83" xfId="27" applyNumberFormat="1" applyFont="1" applyFill="1" applyBorder="1" applyAlignment="1">
      <alignment horizontal="right" vertical="center" shrinkToFit="1" readingOrder="2"/>
    </xf>
    <xf numFmtId="165" fontId="34" fillId="7" borderId="72" xfId="27" applyNumberFormat="1" applyFont="1" applyFill="1" applyBorder="1" applyAlignment="1">
      <alignment horizontal="right" vertical="center" shrinkToFit="1" readingOrder="2"/>
    </xf>
    <xf numFmtId="165" fontId="34" fillId="7" borderId="73" xfId="27" applyNumberFormat="1" applyFont="1" applyFill="1" applyBorder="1" applyAlignment="1">
      <alignment horizontal="right" vertical="center" shrinkToFit="1" readingOrder="2"/>
    </xf>
    <xf numFmtId="165" fontId="34" fillId="7" borderId="72" xfId="24" applyNumberFormat="1" applyFont="1" applyFill="1" applyBorder="1" applyAlignment="1">
      <alignment horizontal="right" vertical="center" shrinkToFit="1" readingOrder="2"/>
    </xf>
    <xf numFmtId="165" fontId="34" fillId="7" borderId="73" xfId="24" applyNumberFormat="1" applyFont="1" applyFill="1" applyBorder="1" applyAlignment="1">
      <alignment horizontal="right" vertical="center" shrinkToFit="1" readingOrder="2"/>
    </xf>
    <xf numFmtId="165" fontId="34" fillId="7" borderId="102" xfId="27" applyNumberFormat="1" applyFont="1" applyFill="1" applyBorder="1" applyAlignment="1">
      <alignment horizontal="right" vertical="center" shrinkToFit="1" readingOrder="2"/>
    </xf>
    <xf numFmtId="169" fontId="34" fillId="6" borderId="8" xfId="24" applyNumberFormat="1" applyFont="1" applyFill="1" applyBorder="1" applyAlignment="1">
      <alignment horizontal="right" vertical="center" readingOrder="2"/>
    </xf>
    <xf numFmtId="165" fontId="34" fillId="9" borderId="92" xfId="24" applyNumberFormat="1" applyFont="1" applyFill="1" applyBorder="1" applyAlignment="1">
      <alignment horizontal="right" vertical="center" shrinkToFit="1" readingOrder="2"/>
    </xf>
    <xf numFmtId="165" fontId="34" fillId="9" borderId="93" xfId="24" applyNumberFormat="1" applyFont="1" applyFill="1" applyBorder="1" applyAlignment="1">
      <alignment horizontal="right" vertical="center" shrinkToFit="1" readingOrder="2"/>
    </xf>
    <xf numFmtId="165" fontId="34" fillId="9" borderId="106" xfId="24" applyNumberFormat="1" applyFont="1" applyFill="1" applyBorder="1" applyAlignment="1">
      <alignment horizontal="right" vertical="center" shrinkToFit="1" readingOrder="2"/>
    </xf>
    <xf numFmtId="165" fontId="34" fillId="6" borderId="0" xfId="27" applyNumberFormat="1" applyFont="1" applyFill="1" applyBorder="1" applyAlignment="1">
      <alignment horizontal="right" vertical="center" readingOrder="2"/>
    </xf>
    <xf numFmtId="165" fontId="34" fillId="6" borderId="9" xfId="27" applyNumberFormat="1" applyFont="1" applyFill="1" applyBorder="1" applyAlignment="1">
      <alignment horizontal="right" vertical="center" readingOrder="2"/>
    </xf>
    <xf numFmtId="165" fontId="34" fillId="7" borderId="127" xfId="27" applyNumberFormat="1" applyFont="1" applyFill="1" applyBorder="1" applyAlignment="1">
      <alignment horizontal="right" vertical="center" shrinkToFit="1" readingOrder="2"/>
    </xf>
    <xf numFmtId="49" fontId="34" fillId="6" borderId="0" xfId="27" applyNumberFormat="1" applyFont="1" applyFill="1" applyBorder="1" applyAlignment="1">
      <alignment horizontal="right" vertical="center" readingOrder="2"/>
    </xf>
    <xf numFmtId="165" fontId="34" fillId="7" borderId="128" xfId="27" applyNumberFormat="1" applyFont="1" applyFill="1" applyBorder="1" applyAlignment="1">
      <alignment horizontal="right" vertical="center" shrinkToFit="1" readingOrder="2"/>
    </xf>
    <xf numFmtId="169" fontId="34" fillId="6" borderId="0" xfId="24" applyNumberFormat="1" applyFont="1" applyFill="1" applyBorder="1" applyAlignment="1">
      <alignment horizontal="right" vertical="center" readingOrder="2"/>
    </xf>
    <xf numFmtId="165" fontId="34" fillId="9" borderId="94" xfId="24" applyNumberFormat="1" applyFont="1" applyFill="1" applyBorder="1" applyAlignment="1">
      <alignment horizontal="right" vertical="center" shrinkToFit="1" readingOrder="2"/>
    </xf>
    <xf numFmtId="0" fontId="40" fillId="6" borderId="8" xfId="27" applyFont="1" applyFill="1" applyBorder="1" applyAlignment="1">
      <alignment horizontal="right" vertical="center" readingOrder="2"/>
    </xf>
    <xf numFmtId="37" fontId="40" fillId="6" borderId="0" xfId="27" applyNumberFormat="1" applyFont="1" applyFill="1" applyBorder="1" applyAlignment="1">
      <alignment horizontal="right" vertical="center" readingOrder="2"/>
    </xf>
    <xf numFmtId="165" fontId="40" fillId="7" borderId="74" xfId="27" applyNumberFormat="1" applyFont="1" applyFill="1" applyBorder="1" applyAlignment="1">
      <alignment horizontal="right" vertical="center" shrinkToFit="1" readingOrder="2"/>
    </xf>
    <xf numFmtId="165" fontId="40" fillId="7" borderId="75" xfId="27" applyNumberFormat="1" applyFont="1" applyFill="1" applyBorder="1" applyAlignment="1">
      <alignment horizontal="right" vertical="center" shrinkToFit="1" readingOrder="2"/>
    </xf>
    <xf numFmtId="165" fontId="40" fillId="7" borderId="76" xfId="27" applyNumberFormat="1" applyFont="1" applyFill="1" applyBorder="1" applyAlignment="1">
      <alignment horizontal="right" vertical="center" shrinkToFit="1" readingOrder="2"/>
    </xf>
    <xf numFmtId="0" fontId="40" fillId="2" borderId="2" xfId="27" applyFont="1" applyFill="1" applyBorder="1" applyAlignment="1">
      <alignment horizontal="right" vertical="center" readingOrder="2"/>
    </xf>
    <xf numFmtId="0" fontId="40" fillId="2" borderId="0" xfId="27" applyFont="1" applyFill="1" applyAlignment="1">
      <alignment horizontal="right" vertical="center" readingOrder="2"/>
    </xf>
    <xf numFmtId="165" fontId="40" fillId="6" borderId="0" xfId="27" applyNumberFormat="1" applyFont="1" applyFill="1" applyBorder="1" applyAlignment="1">
      <alignment horizontal="right" vertical="center" shrinkToFit="1" readingOrder="2"/>
    </xf>
    <xf numFmtId="165" fontId="40" fillId="7" borderId="129" xfId="27" applyNumberFormat="1" applyFont="1" applyFill="1" applyBorder="1" applyAlignment="1">
      <alignment horizontal="right" vertical="center" shrinkToFit="1" readingOrder="2"/>
    </xf>
    <xf numFmtId="165" fontId="40" fillId="7" borderId="130" xfId="27" applyNumberFormat="1" applyFont="1" applyFill="1" applyBorder="1" applyAlignment="1">
      <alignment horizontal="right" vertical="center" shrinkToFit="1" readingOrder="2"/>
    </xf>
    <xf numFmtId="0" fontId="34" fillId="6" borderId="37" xfId="27" applyFont="1" applyFill="1" applyBorder="1" applyAlignment="1">
      <alignment horizontal="right" vertical="center" readingOrder="2"/>
    </xf>
    <xf numFmtId="0" fontId="34" fillId="6" borderId="3" xfId="27" applyFont="1" applyFill="1" applyBorder="1" applyAlignment="1">
      <alignment horizontal="right" vertical="center" readingOrder="2"/>
    </xf>
    <xf numFmtId="37" fontId="34" fillId="6" borderId="3" xfId="27" applyNumberFormat="1" applyFont="1" applyFill="1" applyBorder="1" applyAlignment="1">
      <alignment horizontal="right" vertical="center" readingOrder="2"/>
    </xf>
    <xf numFmtId="165" fontId="34" fillId="6" borderId="3" xfId="27" applyNumberFormat="1" applyFont="1" applyFill="1" applyBorder="1" applyAlignment="1">
      <alignment horizontal="right" vertical="center" readingOrder="2"/>
    </xf>
    <xf numFmtId="165" fontId="34" fillId="6" borderId="131" xfId="27" applyNumberFormat="1" applyFont="1" applyFill="1" applyBorder="1" applyAlignment="1">
      <alignment horizontal="right" vertical="center" readingOrder="2"/>
    </xf>
    <xf numFmtId="165" fontId="34" fillId="3" borderId="0" xfId="27" applyNumberFormat="1" applyFont="1" applyFill="1" applyBorder="1" applyAlignment="1">
      <alignment horizontal="right" vertical="center" readingOrder="2"/>
    </xf>
    <xf numFmtId="0" fontId="34" fillId="2" borderId="25" xfId="27" applyFont="1" applyFill="1" applyBorder="1" applyAlignment="1">
      <alignment horizontal="right" vertical="center" readingOrder="2"/>
    </xf>
    <xf numFmtId="165" fontId="34" fillId="2" borderId="25" xfId="27" applyNumberFormat="1" applyFont="1" applyFill="1" applyBorder="1" applyAlignment="1">
      <alignment horizontal="right" vertical="center" readingOrder="2"/>
    </xf>
    <xf numFmtId="0" fontId="34" fillId="2" borderId="0" xfId="27" applyFont="1" applyFill="1" applyBorder="1" applyAlignment="1">
      <alignment horizontal="right" vertical="center" readingOrder="2"/>
    </xf>
    <xf numFmtId="165" fontId="34" fillId="2" borderId="0" xfId="27" applyNumberFormat="1" applyFont="1" applyFill="1" applyBorder="1" applyAlignment="1">
      <alignment horizontal="right" vertical="center" readingOrder="2"/>
    </xf>
    <xf numFmtId="0" fontId="32" fillId="2" borderId="39" xfId="27" applyFont="1" applyFill="1" applyBorder="1" applyAlignment="1">
      <alignment horizontal="center" vertical="center" wrapText="1" readingOrder="2"/>
    </xf>
    <xf numFmtId="0" fontId="32" fillId="2" borderId="41" xfId="27" applyFont="1" applyFill="1" applyBorder="1" applyAlignment="1">
      <alignment horizontal="center" vertical="center" wrapText="1" readingOrder="2"/>
    </xf>
    <xf numFmtId="0" fontId="32" fillId="2" borderId="24" xfId="14" applyFont="1" applyFill="1" applyBorder="1" applyAlignment="1">
      <alignment horizontal="right" vertical="center" readingOrder="2"/>
    </xf>
    <xf numFmtId="37" fontId="32" fillId="2" borderId="67" xfId="27" applyNumberFormat="1" applyFont="1" applyFill="1" applyBorder="1" applyAlignment="1">
      <alignment horizontal="right" vertical="center" readingOrder="2"/>
    </xf>
    <xf numFmtId="37" fontId="32" fillId="2" borderId="43" xfId="27" applyNumberFormat="1" applyFont="1" applyFill="1" applyBorder="1" applyAlignment="1">
      <alignment horizontal="right" vertical="center" readingOrder="2"/>
    </xf>
    <xf numFmtId="0" fontId="32" fillId="2" borderId="29" xfId="27" applyFont="1" applyFill="1" applyBorder="1" applyAlignment="1">
      <alignment horizontal="right" vertical="center" readingOrder="2"/>
    </xf>
    <xf numFmtId="37" fontId="32" fillId="2" borderId="0" xfId="27" applyNumberFormat="1" applyFont="1" applyFill="1" applyBorder="1" applyAlignment="1">
      <alignment horizontal="right" vertical="center" readingOrder="2"/>
    </xf>
    <xf numFmtId="37" fontId="32" fillId="2" borderId="24" xfId="27" applyNumberFormat="1" applyFont="1" applyFill="1" applyBorder="1" applyAlignment="1">
      <alignment horizontal="right" vertical="center" readingOrder="2"/>
    </xf>
    <xf numFmtId="37" fontId="32" fillId="2" borderId="47" xfId="27" applyNumberFormat="1" applyFont="1" applyFill="1" applyBorder="1" applyAlignment="1">
      <alignment horizontal="right" vertical="center" readingOrder="2"/>
    </xf>
    <xf numFmtId="165" fontId="32" fillId="2" borderId="1" xfId="27" applyNumberFormat="1" applyFont="1" applyFill="1" applyBorder="1" applyAlignment="1">
      <alignment horizontal="right" vertical="center" shrinkToFit="1" readingOrder="2"/>
    </xf>
    <xf numFmtId="165" fontId="32" fillId="2" borderId="1" xfId="24" applyNumberFormat="1" applyFont="1" applyFill="1" applyBorder="1" applyAlignment="1">
      <alignment horizontal="right" vertical="center" shrinkToFit="1" readingOrder="2"/>
    </xf>
    <xf numFmtId="165" fontId="32" fillId="2" borderId="98" xfId="24" applyNumberFormat="1" applyFont="1" applyFill="1" applyBorder="1" applyAlignment="1">
      <alignment horizontal="right" vertical="center" shrinkToFit="1" readingOrder="2"/>
    </xf>
    <xf numFmtId="37" fontId="32" fillId="2" borderId="48" xfId="27" applyNumberFormat="1" applyFont="1" applyFill="1" applyBorder="1" applyAlignment="1">
      <alignment horizontal="right" vertical="center" readingOrder="2"/>
    </xf>
    <xf numFmtId="165" fontId="32" fillId="2" borderId="0" xfId="27" applyNumberFormat="1" applyFont="1" applyFill="1" applyBorder="1" applyAlignment="1">
      <alignment horizontal="right" vertical="center" readingOrder="2"/>
    </xf>
    <xf numFmtId="165" fontId="32" fillId="2" borderId="47" xfId="27" applyNumberFormat="1" applyFont="1" applyFill="1" applyBorder="1" applyAlignment="1">
      <alignment horizontal="right" vertical="center" readingOrder="2"/>
    </xf>
    <xf numFmtId="2" fontId="32" fillId="2" borderId="0" xfId="27" applyNumberFormat="1" applyFont="1" applyFill="1" applyBorder="1" applyAlignment="1">
      <alignment horizontal="right" vertical="center" readingOrder="2"/>
    </xf>
    <xf numFmtId="49" fontId="32" fillId="2" borderId="0" xfId="27" applyNumberFormat="1" applyFont="1" applyFill="1" applyBorder="1" applyAlignment="1">
      <alignment horizontal="right" vertical="center" readingOrder="2"/>
    </xf>
    <xf numFmtId="169" fontId="32" fillId="2" borderId="0" xfId="24" applyNumberFormat="1" applyFont="1" applyFill="1" applyBorder="1" applyAlignment="1">
      <alignment horizontal="right" vertical="center" readingOrder="2"/>
    </xf>
    <xf numFmtId="37" fontId="35" fillId="2" borderId="0" xfId="27" applyNumberFormat="1" applyFont="1" applyFill="1" applyBorder="1" applyAlignment="1">
      <alignment horizontal="right" vertical="center" readingOrder="2"/>
    </xf>
    <xf numFmtId="165" fontId="35" fillId="2" borderId="84" xfId="27" applyNumberFormat="1" applyFont="1" applyFill="1" applyBorder="1" applyAlignment="1">
      <alignment horizontal="right" vertical="center" shrinkToFit="1" readingOrder="2"/>
    </xf>
    <xf numFmtId="165" fontId="35" fillId="2" borderId="0" xfId="27" applyNumberFormat="1" applyFont="1" applyFill="1" applyBorder="1" applyAlignment="1">
      <alignment horizontal="right" vertical="center" shrinkToFit="1" readingOrder="2"/>
    </xf>
    <xf numFmtId="165" fontId="35" fillId="2" borderId="48" xfId="27" applyNumberFormat="1" applyFont="1" applyFill="1" applyBorder="1" applyAlignment="1">
      <alignment horizontal="right" vertical="center" shrinkToFit="1" readingOrder="2"/>
    </xf>
    <xf numFmtId="0" fontId="32" fillId="2" borderId="45" xfId="27" applyFont="1" applyFill="1" applyBorder="1" applyAlignment="1">
      <alignment horizontal="right" vertical="center" readingOrder="2"/>
    </xf>
    <xf numFmtId="0" fontId="32" fillId="2" borderId="24" xfId="27" applyFont="1" applyFill="1" applyBorder="1" applyAlignment="1">
      <alignment horizontal="right" vertical="center" readingOrder="2"/>
    </xf>
    <xf numFmtId="165" fontId="32" fillId="2" borderId="24" xfId="27" applyNumberFormat="1" applyFont="1" applyFill="1" applyBorder="1" applyAlignment="1">
      <alignment horizontal="right" vertical="center" readingOrder="2"/>
    </xf>
    <xf numFmtId="165" fontId="32" fillId="2" borderId="116" xfId="27" applyNumberFormat="1" applyFont="1" applyFill="1" applyBorder="1" applyAlignment="1">
      <alignment horizontal="right" vertical="center" readingOrder="2"/>
    </xf>
    <xf numFmtId="0" fontId="18" fillId="4" borderId="0" xfId="30" applyFont="1" applyFill="1" applyAlignment="1" applyProtection="1">
      <alignment horizontal="right" vertical="center" readingOrder="2"/>
    </xf>
    <xf numFmtId="0" fontId="97" fillId="4" borderId="0" xfId="30" applyFont="1" applyFill="1" applyAlignment="1" applyProtection="1">
      <alignment horizontal="right" vertical="center" readingOrder="2"/>
    </xf>
    <xf numFmtId="0" fontId="34" fillId="2" borderId="2" xfId="30" applyFont="1" applyFill="1" applyBorder="1" applyAlignment="1" applyProtection="1">
      <alignment horizontal="right" vertical="center" readingOrder="2"/>
    </xf>
    <xf numFmtId="0" fontId="34" fillId="2" borderId="0" xfId="30" applyFont="1" applyFill="1" applyAlignment="1" applyProtection="1">
      <alignment horizontal="right" vertical="center" readingOrder="2"/>
    </xf>
    <xf numFmtId="0" fontId="43" fillId="3" borderId="3" xfId="30" applyFont="1" applyFill="1" applyBorder="1" applyAlignment="1" applyProtection="1">
      <alignment horizontal="right" vertical="center" readingOrder="2"/>
    </xf>
    <xf numFmtId="0" fontId="34" fillId="3" borderId="0" xfId="30" applyFont="1" applyFill="1" applyAlignment="1" applyProtection="1">
      <alignment horizontal="right" vertical="center" readingOrder="2"/>
    </xf>
    <xf numFmtId="0" fontId="4" fillId="5" borderId="27" xfId="14" applyFill="1" applyBorder="1" applyAlignment="1" applyProtection="1">
      <alignment horizontal="right" vertical="center" readingOrder="2"/>
    </xf>
    <xf numFmtId="0" fontId="35" fillId="5" borderId="27" xfId="14" applyFont="1" applyFill="1" applyBorder="1" applyAlignment="1" applyProtection="1">
      <alignment horizontal="right" vertical="center" readingOrder="2"/>
    </xf>
    <xf numFmtId="0" fontId="68" fillId="5" borderId="38" xfId="30" applyFont="1" applyFill="1" applyBorder="1" applyAlignment="1" applyProtection="1">
      <alignment horizontal="right" vertical="center" readingOrder="2"/>
    </xf>
    <xf numFmtId="0" fontId="68" fillId="5" borderId="8" xfId="30" applyFont="1" applyFill="1" applyBorder="1" applyAlignment="1" applyProtection="1">
      <alignment horizontal="right" vertical="center" readingOrder="2"/>
    </xf>
    <xf numFmtId="0" fontId="68" fillId="5" borderId="0" xfId="30" applyFont="1" applyFill="1" applyBorder="1" applyAlignment="1" applyProtection="1">
      <alignment horizontal="right" vertical="center" readingOrder="2"/>
    </xf>
    <xf numFmtId="49" fontId="68" fillId="5" borderId="0" xfId="30" applyNumberFormat="1" applyFont="1" applyFill="1" applyBorder="1" applyAlignment="1" applyProtection="1">
      <alignment horizontal="right" vertical="center" readingOrder="2"/>
    </xf>
    <xf numFmtId="0" fontId="68" fillId="5" borderId="132" xfId="30" applyFont="1" applyFill="1" applyBorder="1" applyAlignment="1" applyProtection="1">
      <alignment horizontal="right" vertical="center" readingOrder="2"/>
    </xf>
    <xf numFmtId="0" fontId="68" fillId="5" borderId="9" xfId="30" applyFont="1" applyFill="1" applyBorder="1" applyAlignment="1" applyProtection="1">
      <alignment horizontal="right" vertical="center" readingOrder="2"/>
    </xf>
    <xf numFmtId="0" fontId="68" fillId="5" borderId="37" xfId="30" applyFont="1" applyFill="1" applyBorder="1" applyAlignment="1" applyProtection="1">
      <alignment horizontal="right" vertical="center" readingOrder="2"/>
    </xf>
    <xf numFmtId="0" fontId="68" fillId="5" borderId="3" xfId="30" applyFont="1" applyFill="1" applyBorder="1" applyAlignment="1" applyProtection="1">
      <alignment horizontal="right" vertical="center" readingOrder="2"/>
    </xf>
    <xf numFmtId="0" fontId="68" fillId="5" borderId="21" xfId="30" applyFont="1" applyFill="1" applyBorder="1" applyAlignment="1" applyProtection="1">
      <alignment horizontal="right" vertical="center" readingOrder="2"/>
    </xf>
    <xf numFmtId="0" fontId="34" fillId="6" borderId="8" xfId="30" applyFont="1" applyFill="1" applyBorder="1" applyAlignment="1" applyProtection="1">
      <alignment horizontal="right" vertical="center" readingOrder="2"/>
    </xf>
    <xf numFmtId="0" fontId="34" fillId="6" borderId="0" xfId="30" applyFont="1" applyFill="1" applyBorder="1" applyAlignment="1" applyProtection="1">
      <alignment horizontal="right" vertical="center" readingOrder="2"/>
    </xf>
    <xf numFmtId="0" fontId="34" fillId="6" borderId="9" xfId="30" applyFont="1" applyFill="1" applyBorder="1" applyAlignment="1" applyProtection="1">
      <alignment horizontal="right" vertical="center" readingOrder="2"/>
    </xf>
    <xf numFmtId="0" fontId="34" fillId="6" borderId="0" xfId="30" applyFont="1" applyFill="1" applyBorder="1" applyAlignment="1" applyProtection="1">
      <alignment horizontal="right" vertical="center" readingOrder="2"/>
      <protection locked="0"/>
    </xf>
    <xf numFmtId="4" fontId="34" fillId="7" borderId="10" xfId="30" applyNumberFormat="1" applyFont="1" applyFill="1" applyBorder="1" applyAlignment="1" applyProtection="1">
      <alignment horizontal="right" vertical="center" shrinkToFit="1" readingOrder="2"/>
    </xf>
    <xf numFmtId="0" fontId="34" fillId="6" borderId="10" xfId="30" applyNumberFormat="1" applyFont="1" applyFill="1" applyBorder="1" applyAlignment="1" applyProtection="1">
      <alignment horizontal="right" vertical="center" readingOrder="2"/>
      <protection locked="0"/>
    </xf>
    <xf numFmtId="4" fontId="34" fillId="7" borderId="10" xfId="30" applyNumberFormat="1" applyFont="1" applyFill="1" applyBorder="1" applyAlignment="1" applyProtection="1">
      <alignment horizontal="right" vertical="center" readingOrder="2"/>
    </xf>
    <xf numFmtId="165" fontId="34" fillId="7" borderId="10" xfId="30" applyNumberFormat="1" applyFont="1" applyFill="1" applyBorder="1" applyAlignment="1" applyProtection="1">
      <alignment horizontal="right" vertical="center" shrinkToFit="1" readingOrder="2"/>
    </xf>
    <xf numFmtId="0" fontId="34" fillId="6" borderId="0" xfId="30" applyNumberFormat="1" applyFont="1" applyFill="1" applyBorder="1" applyAlignment="1" applyProtection="1">
      <alignment horizontal="right" vertical="center" readingOrder="2"/>
      <protection locked="0"/>
    </xf>
    <xf numFmtId="0" fontId="34" fillId="6" borderId="0" xfId="30" applyNumberFormat="1" applyFont="1" applyFill="1" applyBorder="1" applyAlignment="1" applyProtection="1">
      <alignment horizontal="right" vertical="center" wrapText="1" shrinkToFit="1" readingOrder="2"/>
      <protection locked="0"/>
    </xf>
    <xf numFmtId="4" fontId="34" fillId="7" borderId="117" xfId="30" applyNumberFormat="1" applyFont="1" applyFill="1" applyBorder="1" applyAlignment="1" applyProtection="1">
      <alignment horizontal="right" vertical="center" shrinkToFit="1" readingOrder="2"/>
    </xf>
    <xf numFmtId="4" fontId="34" fillId="7" borderId="11" xfId="30" applyNumberFormat="1" applyFont="1" applyFill="1" applyBorder="1" applyAlignment="1" applyProtection="1">
      <alignment horizontal="right" vertical="center" shrinkToFit="1" readingOrder="2"/>
    </xf>
    <xf numFmtId="0" fontId="34" fillId="6" borderId="11" xfId="30" applyNumberFormat="1" applyFont="1" applyFill="1" applyBorder="1" applyAlignment="1" applyProtection="1">
      <alignment horizontal="right" vertical="center" readingOrder="2"/>
      <protection locked="0"/>
    </xf>
    <xf numFmtId="4" fontId="34" fillId="7" borderId="11" xfId="30" applyNumberFormat="1" applyFont="1" applyFill="1" applyBorder="1" applyAlignment="1" applyProtection="1">
      <alignment horizontal="right" vertical="center" readingOrder="2"/>
    </xf>
    <xf numFmtId="4" fontId="34" fillId="7" borderId="119" xfId="30" applyNumberFormat="1" applyFont="1" applyFill="1" applyBorder="1" applyAlignment="1" applyProtection="1">
      <alignment horizontal="right" vertical="center" shrinkToFit="1" readingOrder="2"/>
    </xf>
    <xf numFmtId="0" fontId="34" fillId="6" borderId="8" xfId="30" applyFont="1" applyFill="1" applyBorder="1" applyAlignment="1" applyProtection="1">
      <alignment horizontal="right" vertical="center" wrapText="1" readingOrder="2"/>
    </xf>
    <xf numFmtId="4" fontId="34" fillId="7" borderId="23" xfId="30" applyNumberFormat="1" applyFont="1" applyFill="1" applyBorder="1" applyAlignment="1" applyProtection="1">
      <alignment horizontal="right" vertical="center" shrinkToFit="1" readingOrder="2"/>
    </xf>
    <xf numFmtId="4" fontId="34" fillId="7" borderId="23" xfId="30" applyNumberFormat="1" applyFont="1" applyFill="1" applyBorder="1" applyAlignment="1" applyProtection="1">
      <alignment horizontal="right" vertical="center" readingOrder="2"/>
    </xf>
    <xf numFmtId="165" fontId="34" fillId="7" borderId="23" xfId="30" applyNumberFormat="1" applyFont="1" applyFill="1" applyBorder="1" applyAlignment="1" applyProtection="1">
      <alignment horizontal="right" vertical="center" shrinkToFit="1" readingOrder="2"/>
    </xf>
    <xf numFmtId="4" fontId="34" fillId="9" borderId="14" xfId="30" applyNumberFormat="1" applyFont="1" applyFill="1" applyBorder="1" applyAlignment="1" applyProtection="1">
      <alignment horizontal="right" vertical="center" shrinkToFit="1" readingOrder="2"/>
    </xf>
    <xf numFmtId="4" fontId="34" fillId="9" borderId="14" xfId="30" applyNumberFormat="1" applyFont="1" applyFill="1" applyBorder="1" applyAlignment="1" applyProtection="1">
      <alignment horizontal="right" vertical="center" readingOrder="2"/>
    </xf>
    <xf numFmtId="165" fontId="34" fillId="9" borderId="14" xfId="30" applyNumberFormat="1" applyFont="1" applyFill="1" applyBorder="1" applyAlignment="1" applyProtection="1">
      <alignment horizontal="right" vertical="center" shrinkToFit="1" readingOrder="2"/>
    </xf>
    <xf numFmtId="4" fontId="34" fillId="7" borderId="11" xfId="14" applyNumberFormat="1" applyFont="1" applyFill="1" applyBorder="1" applyAlignment="1" applyProtection="1">
      <alignment horizontal="right" vertical="center" shrinkToFit="1" readingOrder="2"/>
    </xf>
    <xf numFmtId="4" fontId="34" fillId="7" borderId="23" xfId="14" applyNumberFormat="1" applyFont="1" applyFill="1" applyBorder="1" applyAlignment="1" applyProtection="1">
      <alignment horizontal="right" vertical="center" shrinkToFit="1" readingOrder="2"/>
    </xf>
    <xf numFmtId="165" fontId="34" fillId="7" borderId="12" xfId="30" applyNumberFormat="1" applyFont="1" applyFill="1" applyBorder="1" applyAlignment="1" applyProtection="1">
      <alignment horizontal="right" vertical="center" shrinkToFit="1" readingOrder="2"/>
    </xf>
    <xf numFmtId="4" fontId="34" fillId="7" borderId="120" xfId="30" applyNumberFormat="1" applyFont="1" applyFill="1" applyBorder="1" applyAlignment="1" applyProtection="1">
      <alignment horizontal="right" vertical="center" shrinkToFit="1" readingOrder="2"/>
    </xf>
    <xf numFmtId="0" fontId="40" fillId="3" borderId="0" xfId="30" applyFont="1" applyFill="1" applyAlignment="1" applyProtection="1">
      <alignment horizontal="right" vertical="center" readingOrder="2"/>
    </xf>
    <xf numFmtId="0" fontId="40" fillId="6" borderId="8" xfId="30" applyFont="1" applyFill="1" applyBorder="1" applyAlignment="1" applyProtection="1">
      <alignment horizontal="right" vertical="center" readingOrder="2"/>
    </xf>
    <xf numFmtId="4" fontId="40" fillId="9" borderId="15" xfId="30" applyNumberFormat="1" applyFont="1" applyFill="1" applyBorder="1" applyAlignment="1" applyProtection="1">
      <alignment horizontal="right" vertical="center" shrinkToFit="1" readingOrder="2"/>
    </xf>
    <xf numFmtId="0" fontId="40" fillId="6" borderId="0" xfId="30" applyNumberFormat="1" applyFont="1" applyFill="1" applyBorder="1" applyAlignment="1" applyProtection="1">
      <alignment horizontal="right" vertical="center" readingOrder="2"/>
      <protection locked="0"/>
    </xf>
    <xf numFmtId="4" fontId="40" fillId="9" borderId="15" xfId="30" applyNumberFormat="1" applyFont="1" applyFill="1" applyBorder="1" applyAlignment="1" applyProtection="1">
      <alignment horizontal="right" vertical="center" readingOrder="2"/>
    </xf>
    <xf numFmtId="165" fontId="40" fillId="9" borderId="15" xfId="30" applyNumberFormat="1" applyFont="1" applyFill="1" applyBorder="1" applyAlignment="1" applyProtection="1">
      <alignment horizontal="right" vertical="center" shrinkToFit="1" readingOrder="2"/>
    </xf>
    <xf numFmtId="0" fontId="40" fillId="6" borderId="0" xfId="30" applyNumberFormat="1" applyFont="1" applyFill="1" applyBorder="1" applyAlignment="1" applyProtection="1">
      <alignment horizontal="right" vertical="center" wrapText="1" shrinkToFit="1" readingOrder="2"/>
      <protection locked="0"/>
    </xf>
    <xf numFmtId="0" fontId="40" fillId="2" borderId="2" xfId="30" applyFont="1" applyFill="1" applyBorder="1" applyAlignment="1" applyProtection="1">
      <alignment horizontal="right" vertical="center" readingOrder="2"/>
    </xf>
    <xf numFmtId="0" fontId="40" fillId="2" borderId="0" xfId="30" applyFont="1" applyFill="1" applyAlignment="1" applyProtection="1">
      <alignment horizontal="right" vertical="center" readingOrder="2"/>
    </xf>
    <xf numFmtId="0" fontId="34" fillId="6" borderId="37" xfId="30" applyFont="1" applyFill="1" applyBorder="1" applyAlignment="1" applyProtection="1">
      <alignment horizontal="right" vertical="center" readingOrder="2"/>
    </xf>
    <xf numFmtId="0" fontId="34" fillId="6" borderId="3" xfId="30" applyFont="1" applyFill="1" applyBorder="1" applyAlignment="1" applyProtection="1">
      <alignment horizontal="right" vertical="center" readingOrder="2"/>
    </xf>
    <xf numFmtId="0" fontId="34" fillId="6" borderId="21" xfId="30" applyFont="1" applyFill="1" applyBorder="1" applyAlignment="1" applyProtection="1">
      <alignment horizontal="right" vertical="center" readingOrder="2"/>
    </xf>
    <xf numFmtId="165" fontId="34" fillId="8" borderId="0" xfId="30" applyNumberFormat="1" applyFont="1" applyFill="1" applyAlignment="1" applyProtection="1">
      <alignment horizontal="right" vertical="center" readingOrder="2"/>
      <protection locked="0"/>
    </xf>
    <xf numFmtId="0" fontId="34" fillId="2" borderId="25" xfId="30" applyFont="1" applyFill="1" applyBorder="1" applyAlignment="1" applyProtection="1">
      <alignment horizontal="right" vertical="center" readingOrder="2"/>
    </xf>
    <xf numFmtId="0" fontId="32" fillId="2" borderId="24" xfId="30" applyFont="1" applyFill="1" applyBorder="1" applyAlignment="1" applyProtection="1">
      <alignment horizontal="right" vertical="center" readingOrder="2"/>
    </xf>
    <xf numFmtId="0" fontId="32" fillId="2" borderId="0" xfId="30" applyFont="1" applyFill="1" applyBorder="1" applyAlignment="1" applyProtection="1">
      <alignment horizontal="right" vertical="center" readingOrder="2"/>
    </xf>
    <xf numFmtId="0" fontId="35" fillId="2" borderId="24" xfId="14" applyFont="1" applyFill="1" applyBorder="1" applyAlignment="1" applyProtection="1">
      <alignment horizontal="center" vertical="center" readingOrder="2"/>
    </xf>
    <xf numFmtId="49" fontId="22" fillId="2" borderId="0" xfId="30" applyNumberFormat="1" applyFont="1" applyFill="1" applyBorder="1" applyAlignment="1" applyProtection="1">
      <alignment horizontal="right" vertical="center" readingOrder="2"/>
    </xf>
    <xf numFmtId="49" fontId="32" fillId="2" borderId="0" xfId="30" applyNumberFormat="1" applyFont="1" applyFill="1" applyBorder="1" applyAlignment="1" applyProtection="1">
      <alignment horizontal="right" vertical="center" readingOrder="2"/>
    </xf>
    <xf numFmtId="4" fontId="32" fillId="2" borderId="0" xfId="30" applyNumberFormat="1" applyFont="1" applyFill="1" applyBorder="1" applyAlignment="1" applyProtection="1">
      <alignment horizontal="right" vertical="center" shrinkToFit="1" readingOrder="2"/>
    </xf>
    <xf numFmtId="0" fontId="32" fillId="2" borderId="0" xfId="30" applyNumberFormat="1" applyFont="1" applyFill="1" applyBorder="1" applyAlignment="1" applyProtection="1">
      <alignment horizontal="right" vertical="center" readingOrder="2"/>
    </xf>
    <xf numFmtId="4" fontId="32" fillId="2" borderId="0" xfId="30" applyNumberFormat="1" applyFont="1" applyFill="1" applyBorder="1" applyAlignment="1" applyProtection="1">
      <alignment horizontal="right" vertical="center" readingOrder="2"/>
    </xf>
    <xf numFmtId="165" fontId="32" fillId="2" borderId="0" xfId="30" applyNumberFormat="1" applyFont="1" applyFill="1" applyBorder="1" applyAlignment="1" applyProtection="1">
      <alignment horizontal="right" vertical="center" shrinkToFit="1" readingOrder="2"/>
    </xf>
    <xf numFmtId="0" fontId="32" fillId="2" borderId="0" xfId="30" applyNumberFormat="1" applyFont="1" applyFill="1" applyBorder="1" applyAlignment="1" applyProtection="1">
      <alignment horizontal="right" vertical="center" wrapText="1" shrinkToFit="1" readingOrder="2"/>
    </xf>
    <xf numFmtId="0" fontId="32" fillId="2" borderId="0" xfId="30" applyFont="1" applyFill="1" applyBorder="1" applyAlignment="1" applyProtection="1">
      <alignment horizontal="right" vertical="center" wrapText="1" readingOrder="2"/>
    </xf>
    <xf numFmtId="4" fontId="32" fillId="2" borderId="0" xfId="14" applyNumberFormat="1" applyFont="1" applyFill="1" applyBorder="1" applyAlignment="1" applyProtection="1">
      <alignment horizontal="right" vertical="center" shrinkToFit="1" readingOrder="2"/>
    </xf>
    <xf numFmtId="165" fontId="32" fillId="2" borderId="24" xfId="30" applyNumberFormat="1" applyFont="1" applyFill="1" applyBorder="1" applyAlignment="1" applyProtection="1">
      <alignment horizontal="right" vertical="center" shrinkToFit="1" readingOrder="2"/>
    </xf>
    <xf numFmtId="4" fontId="35" fillId="2" borderId="15" xfId="30" applyNumberFormat="1" applyFont="1" applyFill="1" applyBorder="1" applyAlignment="1" applyProtection="1">
      <alignment horizontal="right" vertical="center" shrinkToFit="1" readingOrder="2"/>
    </xf>
    <xf numFmtId="0" fontId="35" fillId="2" borderId="0" xfId="30" applyNumberFormat="1" applyFont="1" applyFill="1" applyBorder="1" applyAlignment="1" applyProtection="1">
      <alignment horizontal="right" vertical="center" readingOrder="2"/>
    </xf>
    <xf numFmtId="4" fontId="35" fillId="2" borderId="15" xfId="30" applyNumberFormat="1" applyFont="1" applyFill="1" applyBorder="1" applyAlignment="1" applyProtection="1">
      <alignment horizontal="right" vertical="center" readingOrder="2"/>
    </xf>
    <xf numFmtId="165" fontId="35" fillId="2" borderId="15" xfId="30" applyNumberFormat="1" applyFont="1" applyFill="1" applyBorder="1" applyAlignment="1" applyProtection="1">
      <alignment horizontal="right" vertical="center" shrinkToFit="1" readingOrder="2"/>
    </xf>
    <xf numFmtId="0" fontId="35" fillId="2" borderId="0" xfId="30" applyNumberFormat="1" applyFont="1" applyFill="1" applyBorder="1" applyAlignment="1" applyProtection="1">
      <alignment horizontal="right" vertical="center" wrapText="1" shrinkToFit="1" readingOrder="2"/>
    </xf>
    <xf numFmtId="0" fontId="32" fillId="2" borderId="0" xfId="30" applyFont="1" applyFill="1" applyAlignment="1" applyProtection="1">
      <alignment horizontal="right" vertical="center" readingOrder="2"/>
    </xf>
    <xf numFmtId="165" fontId="32" fillId="2" borderId="0" xfId="30" applyNumberFormat="1" applyFont="1" applyFill="1" applyAlignment="1" applyProtection="1">
      <alignment horizontal="right" vertical="center" readingOrder="2"/>
    </xf>
    <xf numFmtId="0" fontId="85" fillId="4" borderId="0" xfId="31" applyFont="1" applyFill="1" applyAlignment="1" applyProtection="1">
      <alignment horizontal="right" vertical="center" readingOrder="2"/>
    </xf>
    <xf numFmtId="0" fontId="97" fillId="4" borderId="0" xfId="31" applyFont="1" applyFill="1" applyAlignment="1" applyProtection="1">
      <alignment horizontal="right" vertical="center" readingOrder="2"/>
    </xf>
    <xf numFmtId="0" fontId="55" fillId="4" borderId="0" xfId="31" applyFont="1" applyFill="1" applyAlignment="1" applyProtection="1">
      <alignment horizontal="center" vertical="center" readingOrder="2"/>
    </xf>
    <xf numFmtId="0" fontId="34" fillId="2" borderId="2" xfId="31" applyFont="1" applyFill="1" applyBorder="1" applyAlignment="1" applyProtection="1">
      <alignment horizontal="right" vertical="center" readingOrder="2"/>
    </xf>
    <xf numFmtId="0" fontId="34" fillId="2" borderId="0" xfId="31" applyFont="1" applyFill="1" applyAlignment="1" applyProtection="1">
      <alignment horizontal="right" vertical="center" readingOrder="2"/>
    </xf>
    <xf numFmtId="0" fontId="32" fillId="4" borderId="0" xfId="14" applyFont="1" applyFill="1" applyAlignment="1" applyProtection="1">
      <alignment horizontal="center" vertical="center" readingOrder="2"/>
    </xf>
    <xf numFmtId="0" fontId="18" fillId="4" borderId="0" xfId="31" applyFont="1" applyFill="1" applyAlignment="1" applyProtection="1">
      <alignment horizontal="right" vertical="center" readingOrder="2"/>
    </xf>
    <xf numFmtId="0" fontId="4" fillId="4" borderId="0" xfId="14" applyFill="1" applyAlignment="1" applyProtection="1">
      <alignment horizontal="center" vertical="center" readingOrder="2"/>
    </xf>
    <xf numFmtId="0" fontId="43" fillId="3" borderId="0" xfId="31" applyFont="1" applyFill="1" applyBorder="1" applyAlignment="1" applyProtection="1">
      <alignment horizontal="right" vertical="center" readingOrder="2"/>
    </xf>
    <xf numFmtId="0" fontId="34" fillId="3" borderId="0" xfId="31" applyFont="1" applyFill="1" applyAlignment="1" applyProtection="1">
      <alignment horizontal="right" vertical="center" readingOrder="2"/>
    </xf>
    <xf numFmtId="0" fontId="68" fillId="5" borderId="0" xfId="31" applyFont="1" applyFill="1" applyBorder="1" applyAlignment="1" applyProtection="1">
      <alignment horizontal="right" vertical="center" readingOrder="2"/>
    </xf>
    <xf numFmtId="0" fontId="28" fillId="5" borderId="0" xfId="31" applyFont="1" applyFill="1" applyBorder="1" applyAlignment="1" applyProtection="1">
      <alignment horizontal="right" vertical="center" readingOrder="2"/>
    </xf>
    <xf numFmtId="3" fontId="40" fillId="3" borderId="0" xfId="31" applyNumberFormat="1" applyFont="1" applyFill="1" applyBorder="1" applyAlignment="1" applyProtection="1">
      <alignment horizontal="right" vertical="center" readingOrder="2"/>
    </xf>
    <xf numFmtId="3" fontId="68" fillId="5" borderId="3" xfId="31" applyNumberFormat="1" applyFont="1" applyFill="1" applyBorder="1" applyAlignment="1" applyProtection="1">
      <alignment horizontal="right" vertical="center" readingOrder="2"/>
    </xf>
    <xf numFmtId="3" fontId="28" fillId="5" borderId="3" xfId="31" applyNumberFormat="1" applyFont="1" applyFill="1" applyBorder="1" applyAlignment="1" applyProtection="1">
      <alignment horizontal="right" vertical="center" readingOrder="2"/>
    </xf>
    <xf numFmtId="0" fontId="28" fillId="5" borderId="3" xfId="31" applyFont="1" applyFill="1" applyBorder="1" applyAlignment="1" applyProtection="1">
      <alignment horizontal="right" vertical="center" readingOrder="2"/>
    </xf>
    <xf numFmtId="0" fontId="28" fillId="5" borderId="21" xfId="31" applyFont="1" applyFill="1" applyBorder="1" applyAlignment="1" applyProtection="1">
      <alignment horizontal="right" vertical="center" readingOrder="2"/>
    </xf>
    <xf numFmtId="0" fontId="40" fillId="6" borderId="8" xfId="31" applyFont="1" applyFill="1" applyBorder="1" applyAlignment="1" applyProtection="1">
      <alignment horizontal="right" vertical="center" readingOrder="2"/>
    </xf>
    <xf numFmtId="0" fontId="34" fillId="6" borderId="0" xfId="31" applyFont="1" applyFill="1" applyBorder="1" applyAlignment="1" applyProtection="1">
      <alignment horizontal="right" vertical="center" readingOrder="2"/>
    </xf>
    <xf numFmtId="3" fontId="34" fillId="6" borderId="0" xfId="31" applyNumberFormat="1" applyFont="1" applyFill="1" applyBorder="1" applyAlignment="1" applyProtection="1">
      <alignment horizontal="right" vertical="center" readingOrder="2"/>
    </xf>
    <xf numFmtId="0" fontId="34" fillId="6" borderId="9" xfId="31" applyFont="1" applyFill="1" applyBorder="1" applyAlignment="1" applyProtection="1">
      <alignment horizontal="right" vertical="center" readingOrder="2"/>
    </xf>
    <xf numFmtId="49" fontId="34" fillId="3" borderId="0" xfId="31" applyNumberFormat="1" applyFont="1" applyFill="1" applyAlignment="1" applyProtection="1">
      <alignment horizontal="right" vertical="center" readingOrder="2"/>
    </xf>
    <xf numFmtId="0" fontId="34" fillId="6" borderId="8" xfId="31" applyFont="1" applyFill="1" applyBorder="1" applyAlignment="1" applyProtection="1">
      <alignment horizontal="right" vertical="center" readingOrder="2"/>
    </xf>
    <xf numFmtId="165" fontId="34" fillId="8" borderId="10" xfId="31" applyNumberFormat="1" applyFont="1" applyFill="1" applyBorder="1" applyAlignment="1" applyProtection="1">
      <alignment horizontal="right" vertical="center" shrinkToFit="1" readingOrder="2"/>
      <protection locked="0"/>
    </xf>
    <xf numFmtId="0" fontId="34" fillId="6" borderId="0" xfId="31" applyFont="1" applyFill="1" applyBorder="1" applyAlignment="1" applyProtection="1">
      <alignment horizontal="right" vertical="center" shrinkToFit="1" readingOrder="2"/>
    </xf>
    <xf numFmtId="10" fontId="34" fillId="7" borderId="117" xfId="33" applyNumberFormat="1" applyFont="1" applyFill="1" applyBorder="1" applyAlignment="1" applyProtection="1">
      <alignment horizontal="right" vertical="center" shrinkToFit="1" readingOrder="2"/>
    </xf>
    <xf numFmtId="165" fontId="34" fillId="8" borderId="11" xfId="31" applyNumberFormat="1" applyFont="1" applyFill="1" applyBorder="1" applyAlignment="1" applyProtection="1">
      <alignment horizontal="right" vertical="center" shrinkToFit="1" readingOrder="2"/>
      <protection locked="0"/>
    </xf>
    <xf numFmtId="10" fontId="34" fillId="7" borderId="119" xfId="33" applyNumberFormat="1" applyFont="1" applyFill="1" applyBorder="1" applyAlignment="1" applyProtection="1">
      <alignment horizontal="right" vertical="center" shrinkToFit="1" readingOrder="2"/>
    </xf>
    <xf numFmtId="0" fontId="34" fillId="6" borderId="8" xfId="31" applyFont="1" applyFill="1" applyBorder="1" applyAlignment="1" applyProtection="1">
      <alignment horizontal="right" vertical="center" wrapText="1" readingOrder="2"/>
    </xf>
    <xf numFmtId="0" fontId="34" fillId="6" borderId="8" xfId="31" applyFont="1" applyFill="1" applyBorder="1" applyAlignment="1" applyProtection="1">
      <alignment horizontal="right" vertical="center" readingOrder="2"/>
      <protection locked="0"/>
    </xf>
    <xf numFmtId="165" fontId="34" fillId="8" borderId="12" xfId="31" applyNumberFormat="1" applyFont="1" applyFill="1" applyBorder="1" applyAlignment="1" applyProtection="1">
      <alignment horizontal="right" vertical="center" shrinkToFit="1" readingOrder="2"/>
      <protection locked="0"/>
    </xf>
    <xf numFmtId="10" fontId="34" fillId="7" borderId="12" xfId="33" applyNumberFormat="1" applyFont="1" applyFill="1" applyBorder="1" applyAlignment="1" applyProtection="1">
      <alignment horizontal="right" vertical="center" shrinkToFit="1" readingOrder="2"/>
    </xf>
    <xf numFmtId="10" fontId="34" fillId="7" borderId="118" xfId="33" applyNumberFormat="1" applyFont="1" applyFill="1" applyBorder="1" applyAlignment="1" applyProtection="1">
      <alignment horizontal="right" vertical="center" shrinkToFit="1" readingOrder="2"/>
    </xf>
    <xf numFmtId="165" fontId="34" fillId="9" borderId="14" xfId="31" applyNumberFormat="1" applyFont="1" applyFill="1" applyBorder="1" applyAlignment="1" applyProtection="1">
      <alignment horizontal="right" vertical="center" shrinkToFit="1" readingOrder="2"/>
    </xf>
    <xf numFmtId="10" fontId="34" fillId="9" borderId="14" xfId="33" applyNumberFormat="1" applyFont="1" applyFill="1" applyBorder="1" applyAlignment="1" applyProtection="1">
      <alignment horizontal="right" vertical="center" shrinkToFit="1" readingOrder="2"/>
    </xf>
    <xf numFmtId="10" fontId="34" fillId="9" borderId="121" xfId="33" applyNumberFormat="1" applyFont="1" applyFill="1" applyBorder="1" applyAlignment="1" applyProtection="1">
      <alignment horizontal="right" vertical="center" shrinkToFit="1" readingOrder="2"/>
    </xf>
    <xf numFmtId="165" fontId="34" fillId="6" borderId="0" xfId="31" applyNumberFormat="1" applyFont="1" applyFill="1" applyBorder="1" applyAlignment="1" applyProtection="1">
      <alignment horizontal="right" vertical="center" shrinkToFit="1" readingOrder="2"/>
    </xf>
    <xf numFmtId="10" fontId="34" fillId="6" borderId="0" xfId="31" applyNumberFormat="1" applyFont="1" applyFill="1" applyBorder="1" applyAlignment="1" applyProtection="1">
      <alignment horizontal="right" vertical="center" shrinkToFit="1" readingOrder="2"/>
    </xf>
    <xf numFmtId="10" fontId="34" fillId="6" borderId="9" xfId="31" applyNumberFormat="1" applyFont="1" applyFill="1" applyBorder="1" applyAlignment="1" applyProtection="1">
      <alignment horizontal="right" vertical="center" shrinkToFit="1" readingOrder="2"/>
    </xf>
    <xf numFmtId="0" fontId="34" fillId="6" borderId="8" xfId="14" applyFont="1" applyFill="1" applyBorder="1" applyAlignment="1" applyProtection="1">
      <alignment horizontal="right" vertical="center" readingOrder="2"/>
    </xf>
    <xf numFmtId="0" fontId="34" fillId="6" borderId="8" xfId="14" applyFont="1" applyFill="1" applyBorder="1" applyAlignment="1" applyProtection="1">
      <alignment horizontal="right" vertical="center" readingOrder="2"/>
      <protection locked="0"/>
    </xf>
    <xf numFmtId="165" fontId="34" fillId="7" borderId="15" xfId="31" applyNumberFormat="1" applyFont="1" applyFill="1" applyBorder="1" applyAlignment="1" applyProtection="1">
      <alignment horizontal="right" vertical="center" shrinkToFit="1" readingOrder="2"/>
    </xf>
    <xf numFmtId="10" fontId="34" fillId="7" borderId="15" xfId="33" applyNumberFormat="1" applyFont="1" applyFill="1" applyBorder="1" applyAlignment="1" applyProtection="1">
      <alignment horizontal="right" vertical="center" shrinkToFit="1" readingOrder="2"/>
    </xf>
    <xf numFmtId="10" fontId="34" fillId="7" borderId="63" xfId="33" applyNumberFormat="1" applyFont="1" applyFill="1" applyBorder="1" applyAlignment="1" applyProtection="1">
      <alignment horizontal="right" vertical="center" shrinkToFit="1" readingOrder="2"/>
    </xf>
    <xf numFmtId="0" fontId="34" fillId="6" borderId="37" xfId="31" applyFont="1" applyFill="1" applyBorder="1" applyAlignment="1" applyProtection="1">
      <alignment horizontal="right" vertical="center" readingOrder="2"/>
    </xf>
    <xf numFmtId="0" fontId="34" fillId="6" borderId="3" xfId="31" applyFont="1" applyFill="1" applyBorder="1" applyAlignment="1" applyProtection="1">
      <alignment horizontal="right" vertical="center" readingOrder="2"/>
    </xf>
    <xf numFmtId="0" fontId="34" fillId="6" borderId="21" xfId="31" applyFont="1" applyFill="1" applyBorder="1" applyAlignment="1" applyProtection="1">
      <alignment horizontal="right" vertical="center" readingOrder="2"/>
    </xf>
    <xf numFmtId="3" fontId="34" fillId="3" borderId="0" xfId="14" applyNumberFormat="1" applyFont="1" applyFill="1" applyAlignment="1" applyProtection="1">
      <alignment horizontal="right" vertical="center" readingOrder="2"/>
    </xf>
    <xf numFmtId="0" fontId="40" fillId="3" borderId="0" xfId="31" applyFont="1" applyFill="1" applyAlignment="1" applyProtection="1">
      <alignment horizontal="right" vertical="center" readingOrder="2"/>
    </xf>
    <xf numFmtId="3" fontId="40" fillId="3" borderId="0" xfId="14" applyNumberFormat="1" applyFont="1" applyFill="1" applyAlignment="1" applyProtection="1">
      <alignment horizontal="right" vertical="center" readingOrder="2"/>
    </xf>
    <xf numFmtId="0" fontId="68" fillId="5" borderId="5" xfId="31" applyFont="1" applyFill="1" applyBorder="1" applyAlignment="1" applyProtection="1">
      <alignment horizontal="right" vertical="center" readingOrder="2"/>
    </xf>
    <xf numFmtId="0" fontId="68" fillId="5" borderId="6" xfId="31" applyFont="1" applyFill="1" applyBorder="1" applyAlignment="1" applyProtection="1">
      <alignment horizontal="right" vertical="center" readingOrder="2"/>
    </xf>
    <xf numFmtId="3" fontId="68" fillId="5" borderId="6" xfId="31" applyNumberFormat="1" applyFont="1" applyFill="1" applyBorder="1" applyAlignment="1" applyProtection="1">
      <alignment horizontal="right" vertical="center" readingOrder="2"/>
    </xf>
    <xf numFmtId="165" fontId="68" fillId="5" borderId="6" xfId="31" applyNumberFormat="1" applyFont="1" applyFill="1" applyBorder="1" applyAlignment="1" applyProtection="1">
      <alignment horizontal="right" vertical="center" readingOrder="2"/>
    </xf>
    <xf numFmtId="168" fontId="28" fillId="5" borderId="6" xfId="31" applyNumberFormat="1" applyFont="1" applyFill="1" applyBorder="1" applyAlignment="1" applyProtection="1">
      <alignment horizontal="center" vertical="center" readingOrder="2"/>
    </xf>
    <xf numFmtId="168" fontId="28" fillId="5" borderId="6" xfId="31" applyNumberFormat="1" applyFont="1" applyFill="1" applyBorder="1" applyAlignment="1" applyProtection="1">
      <alignment horizontal="right" vertical="center" readingOrder="2"/>
    </xf>
    <xf numFmtId="168" fontId="28" fillId="5" borderId="7" xfId="31" applyNumberFormat="1" applyFont="1" applyFill="1" applyBorder="1" applyAlignment="1" applyProtection="1">
      <alignment horizontal="center" vertical="center" readingOrder="2"/>
    </xf>
    <xf numFmtId="165" fontId="34" fillId="6" borderId="0" xfId="31" applyNumberFormat="1" applyFont="1" applyFill="1" applyBorder="1" applyAlignment="1" applyProtection="1">
      <alignment horizontal="right" vertical="center" readingOrder="2"/>
    </xf>
    <xf numFmtId="165" fontId="34" fillId="7" borderId="10" xfId="31" applyNumberFormat="1" applyFont="1" applyFill="1" applyBorder="1" applyAlignment="1" applyProtection="1">
      <alignment horizontal="right" vertical="center" readingOrder="2"/>
    </xf>
    <xf numFmtId="165" fontId="34" fillId="7" borderId="117" xfId="31" applyNumberFormat="1" applyFont="1" applyFill="1" applyBorder="1" applyAlignment="1" applyProtection="1">
      <alignment horizontal="right" vertical="center" readingOrder="2"/>
    </xf>
    <xf numFmtId="165" fontId="34" fillId="8" borderId="11" xfId="31" applyNumberFormat="1" applyFont="1" applyFill="1" applyBorder="1" applyAlignment="1" applyProtection="1">
      <alignment horizontal="right" vertical="center" readingOrder="2"/>
      <protection locked="0"/>
    </xf>
    <xf numFmtId="165" fontId="34" fillId="8" borderId="119" xfId="31" applyNumberFormat="1" applyFont="1" applyFill="1" applyBorder="1" applyAlignment="1" applyProtection="1">
      <alignment horizontal="right" vertical="center" readingOrder="2"/>
      <protection locked="0"/>
    </xf>
    <xf numFmtId="37" fontId="34" fillId="6" borderId="0" xfId="31" applyNumberFormat="1" applyFont="1" applyFill="1" applyBorder="1" applyAlignment="1" applyProtection="1">
      <alignment horizontal="right" vertical="center" readingOrder="2"/>
    </xf>
    <xf numFmtId="165" fontId="34" fillId="9" borderId="15" xfId="31" applyNumberFormat="1" applyFont="1" applyFill="1" applyBorder="1" applyAlignment="1" applyProtection="1">
      <alignment horizontal="right" vertical="center" readingOrder="2"/>
    </xf>
    <xf numFmtId="165" fontId="34" fillId="9" borderId="63" xfId="31" applyNumberFormat="1" applyFont="1" applyFill="1" applyBorder="1" applyAlignment="1" applyProtection="1">
      <alignment horizontal="right" vertical="center" readingOrder="2"/>
    </xf>
    <xf numFmtId="3" fontId="34" fillId="6" borderId="3" xfId="31" applyNumberFormat="1" applyFont="1" applyFill="1" applyBorder="1" applyAlignment="1" applyProtection="1">
      <alignment horizontal="right" vertical="center" readingOrder="2"/>
    </xf>
    <xf numFmtId="165" fontId="34" fillId="6" borderId="3" xfId="31" applyNumberFormat="1" applyFont="1" applyFill="1" applyBorder="1" applyAlignment="1" applyProtection="1">
      <alignment horizontal="right" vertical="center" readingOrder="2"/>
    </xf>
    <xf numFmtId="37" fontId="34" fillId="6" borderId="3" xfId="31" applyNumberFormat="1" applyFont="1" applyFill="1" applyBorder="1" applyAlignment="1" applyProtection="1">
      <alignment horizontal="right" vertical="center" readingOrder="2"/>
    </xf>
    <xf numFmtId="37" fontId="34" fillId="6" borderId="21" xfId="31" applyNumberFormat="1" applyFont="1" applyFill="1" applyBorder="1" applyAlignment="1" applyProtection="1">
      <alignment horizontal="right" vertical="center" readingOrder="2"/>
    </xf>
    <xf numFmtId="0" fontId="34" fillId="2" borderId="25" xfId="31" applyFont="1" applyFill="1" applyBorder="1" applyAlignment="1" applyProtection="1">
      <alignment horizontal="right" vertical="center" readingOrder="2"/>
    </xf>
    <xf numFmtId="3" fontId="34" fillId="2" borderId="25" xfId="31" applyNumberFormat="1" applyFont="1" applyFill="1" applyBorder="1" applyAlignment="1" applyProtection="1">
      <alignment horizontal="right" vertical="center" readingOrder="2"/>
    </xf>
    <xf numFmtId="165" fontId="34" fillId="2" borderId="25" xfId="31" applyNumberFormat="1" applyFont="1" applyFill="1" applyBorder="1" applyAlignment="1" applyProtection="1">
      <alignment horizontal="right" vertical="center" readingOrder="2"/>
    </xf>
    <xf numFmtId="3" fontId="34" fillId="2" borderId="0" xfId="31" applyNumberFormat="1" applyFont="1" applyFill="1" applyAlignment="1" applyProtection="1">
      <alignment horizontal="right" vertical="center" readingOrder="2"/>
    </xf>
    <xf numFmtId="165" fontId="34" fillId="2" borderId="0" xfId="31" applyNumberFormat="1" applyFont="1" applyFill="1" applyAlignment="1" applyProtection="1">
      <alignment horizontal="right" vertical="center" readingOrder="2"/>
    </xf>
    <xf numFmtId="0" fontId="40" fillId="2" borderId="0" xfId="31" applyFont="1" applyFill="1" applyAlignment="1" applyProtection="1">
      <alignment horizontal="right" vertical="center" readingOrder="2"/>
    </xf>
    <xf numFmtId="3" fontId="35" fillId="2" borderId="0" xfId="31" applyNumberFormat="1" applyFont="1" applyFill="1" applyBorder="1" applyAlignment="1" applyProtection="1">
      <alignment horizontal="right" vertical="center" readingOrder="2"/>
    </xf>
    <xf numFmtId="3" fontId="32" fillId="2" borderId="0" xfId="31" applyNumberFormat="1" applyFont="1" applyFill="1" applyBorder="1" applyAlignment="1" applyProtection="1">
      <alignment horizontal="right" vertical="center" readingOrder="2"/>
    </xf>
    <xf numFmtId="165" fontId="32" fillId="2" borderId="0" xfId="31" applyNumberFormat="1" applyFont="1" applyFill="1" applyBorder="1" applyAlignment="1" applyProtection="1">
      <alignment horizontal="right" vertical="center" shrinkToFit="1" readingOrder="2"/>
    </xf>
    <xf numFmtId="3" fontId="32" fillId="2" borderId="0" xfId="31" applyNumberFormat="1" applyFont="1" applyFill="1" applyBorder="1" applyAlignment="1" applyProtection="1">
      <alignment horizontal="right" vertical="center" shrinkToFit="1" readingOrder="2"/>
    </xf>
    <xf numFmtId="3" fontId="32" fillId="2" borderId="0" xfId="31" applyNumberFormat="1" applyFont="1" applyFill="1" applyBorder="1" applyAlignment="1" applyProtection="1">
      <alignment horizontal="right" vertical="center" wrapText="1" readingOrder="2"/>
    </xf>
    <xf numFmtId="165" fontId="32" fillId="2" borderId="24" xfId="31" applyNumberFormat="1" applyFont="1" applyFill="1" applyBorder="1" applyAlignment="1" applyProtection="1">
      <alignment horizontal="right" vertical="center" shrinkToFit="1" readingOrder="2"/>
    </xf>
    <xf numFmtId="10" fontId="32" fillId="2" borderId="24" xfId="33" applyNumberFormat="1" applyFont="1" applyFill="1" applyBorder="1" applyAlignment="1" applyProtection="1">
      <alignment horizontal="right" vertical="center" shrinkToFit="1" readingOrder="2"/>
    </xf>
    <xf numFmtId="165" fontId="32" fillId="2" borderId="14" xfId="31" applyNumberFormat="1" applyFont="1" applyFill="1" applyBorder="1" applyAlignment="1" applyProtection="1">
      <alignment horizontal="right" vertical="center" shrinkToFit="1" readingOrder="2"/>
    </xf>
    <xf numFmtId="10" fontId="32" fillId="2" borderId="14" xfId="33" applyNumberFormat="1" applyFont="1" applyFill="1" applyBorder="1" applyAlignment="1" applyProtection="1">
      <alignment horizontal="right" vertical="center" shrinkToFit="1" readingOrder="2"/>
    </xf>
    <xf numFmtId="10" fontId="32" fillId="2" borderId="0" xfId="31" applyNumberFormat="1" applyFont="1" applyFill="1" applyBorder="1" applyAlignment="1" applyProtection="1">
      <alignment horizontal="right" vertical="center" shrinkToFit="1" readingOrder="2"/>
    </xf>
    <xf numFmtId="165" fontId="32" fillId="2" borderId="15" xfId="31" applyNumberFormat="1" applyFont="1" applyFill="1" applyBorder="1" applyAlignment="1" applyProtection="1">
      <alignment horizontal="right" vertical="center" shrinkToFit="1" readingOrder="2"/>
    </xf>
    <xf numFmtId="3" fontId="32" fillId="2" borderId="0" xfId="31" applyNumberFormat="1" applyFont="1" applyFill="1" applyAlignment="1" applyProtection="1">
      <alignment horizontal="right" vertical="center" readingOrder="2"/>
    </xf>
    <xf numFmtId="3" fontId="32" fillId="2" borderId="0" xfId="14" applyNumberFormat="1" applyFont="1" applyFill="1" applyAlignment="1" applyProtection="1">
      <alignment horizontal="right" vertical="center" readingOrder="2"/>
    </xf>
    <xf numFmtId="3" fontId="35" fillId="2" borderId="0" xfId="31" applyNumberFormat="1" applyFont="1" applyFill="1" applyAlignment="1" applyProtection="1">
      <alignment horizontal="right" vertical="center" readingOrder="2"/>
    </xf>
    <xf numFmtId="165" fontId="32" fillId="2" borderId="0" xfId="31" applyNumberFormat="1" applyFont="1" applyFill="1" applyBorder="1" applyAlignment="1" applyProtection="1">
      <alignment horizontal="right" vertical="center" readingOrder="2"/>
    </xf>
    <xf numFmtId="168" fontId="35" fillId="2" borderId="0" xfId="31" applyNumberFormat="1" applyFont="1" applyFill="1" applyBorder="1" applyAlignment="1" applyProtection="1">
      <alignment horizontal="right" vertical="center" readingOrder="2"/>
    </xf>
    <xf numFmtId="165" fontId="32" fillId="2" borderId="24" xfId="31" applyNumberFormat="1" applyFont="1" applyFill="1" applyBorder="1" applyAlignment="1" applyProtection="1">
      <alignment horizontal="right" vertical="center" readingOrder="2"/>
    </xf>
    <xf numFmtId="37" fontId="32" fillId="2" borderId="0" xfId="31" applyNumberFormat="1" applyFont="1" applyFill="1" applyBorder="1" applyAlignment="1" applyProtection="1">
      <alignment horizontal="right" vertical="center" readingOrder="2"/>
    </xf>
    <xf numFmtId="165" fontId="32" fillId="2" borderId="15" xfId="31" applyNumberFormat="1" applyFont="1" applyFill="1" applyBorder="1" applyAlignment="1" applyProtection="1">
      <alignment horizontal="right" vertical="center" readingOrder="2"/>
    </xf>
    <xf numFmtId="0" fontId="56" fillId="4" borderId="0" xfId="32" applyFont="1" applyFill="1" applyAlignment="1" applyProtection="1">
      <alignment horizontal="right" vertical="center" readingOrder="2"/>
    </xf>
    <xf numFmtId="0" fontId="34" fillId="4" borderId="0" xfId="32" applyFont="1" applyFill="1" applyAlignment="1" applyProtection="1">
      <alignment horizontal="right" vertical="center" readingOrder="2"/>
    </xf>
    <xf numFmtId="0" fontId="34" fillId="2" borderId="2" xfId="32" applyFont="1" applyFill="1" applyBorder="1" applyAlignment="1" applyProtection="1">
      <alignment horizontal="right" vertical="center" readingOrder="2"/>
    </xf>
    <xf numFmtId="0" fontId="34" fillId="2" borderId="0" xfId="32" applyFont="1" applyFill="1" applyAlignment="1" applyProtection="1">
      <alignment horizontal="right" vertical="center" readingOrder="2"/>
    </xf>
    <xf numFmtId="0" fontId="43" fillId="3" borderId="3" xfId="32" applyFont="1" applyFill="1" applyBorder="1" applyAlignment="1" applyProtection="1">
      <alignment horizontal="right" vertical="center" readingOrder="2"/>
    </xf>
    <xf numFmtId="0" fontId="34" fillId="3" borderId="0" xfId="32" applyFont="1" applyFill="1" applyAlignment="1" applyProtection="1">
      <alignment horizontal="right" vertical="center" readingOrder="2"/>
    </xf>
    <xf numFmtId="0" fontId="68" fillId="5" borderId="38" xfId="32" applyFont="1" applyFill="1" applyBorder="1" applyAlignment="1" applyProtection="1">
      <alignment horizontal="right" vertical="center" readingOrder="2"/>
    </xf>
    <xf numFmtId="0" fontId="28" fillId="5" borderId="38" xfId="32" applyFont="1" applyFill="1" applyBorder="1" applyAlignment="1" applyProtection="1">
      <alignment horizontal="right" vertical="center" readingOrder="2"/>
    </xf>
    <xf numFmtId="0" fontId="28" fillId="5" borderId="27" xfId="32" applyFont="1" applyFill="1" applyBorder="1" applyAlignment="1" applyProtection="1">
      <alignment horizontal="right" vertical="center" readingOrder="2"/>
    </xf>
    <xf numFmtId="0" fontId="28" fillId="5" borderId="28" xfId="32" applyFont="1" applyFill="1" applyBorder="1" applyAlignment="1" applyProtection="1">
      <alignment horizontal="right" vertical="center" readingOrder="2"/>
    </xf>
    <xf numFmtId="0" fontId="28" fillId="5" borderId="8" xfId="32" applyFont="1" applyFill="1" applyBorder="1" applyAlignment="1" applyProtection="1">
      <alignment horizontal="right" vertical="center" readingOrder="2"/>
    </xf>
    <xf numFmtId="0" fontId="28" fillId="5" borderId="0" xfId="32" applyFont="1" applyFill="1" applyBorder="1" applyAlignment="1" applyProtection="1">
      <alignment horizontal="right" vertical="center" readingOrder="2"/>
    </xf>
    <xf numFmtId="0" fontId="68" fillId="5" borderId="0" xfId="32" applyFont="1" applyFill="1" applyBorder="1" applyAlignment="1" applyProtection="1">
      <alignment horizontal="right" vertical="center" readingOrder="2"/>
    </xf>
    <xf numFmtId="37" fontId="28" fillId="5" borderId="0" xfId="32" applyNumberFormat="1" applyFont="1" applyFill="1" applyBorder="1" applyAlignment="1" applyProtection="1">
      <alignment horizontal="right" vertical="center" readingOrder="2"/>
    </xf>
    <xf numFmtId="0" fontId="28" fillId="5" borderId="9" xfId="32" applyFont="1" applyFill="1" applyBorder="1" applyAlignment="1" applyProtection="1">
      <alignment horizontal="right" vertical="center" readingOrder="2"/>
    </xf>
    <xf numFmtId="0" fontId="68" fillId="5" borderId="8" xfId="32" applyFont="1" applyFill="1" applyBorder="1" applyAlignment="1" applyProtection="1">
      <alignment horizontal="right" vertical="center" readingOrder="2"/>
    </xf>
    <xf numFmtId="0" fontId="34" fillId="6" borderId="8" xfId="32" applyFont="1" applyFill="1" applyBorder="1" applyAlignment="1" applyProtection="1">
      <alignment horizontal="right" vertical="center" readingOrder="2"/>
    </xf>
    <xf numFmtId="0" fontId="34" fillId="6" borderId="0" xfId="32" applyFont="1" applyFill="1" applyBorder="1" applyAlignment="1" applyProtection="1">
      <alignment horizontal="right" vertical="center" readingOrder="2"/>
    </xf>
    <xf numFmtId="165" fontId="34" fillId="6" borderId="0" xfId="32" applyNumberFormat="1" applyFont="1" applyFill="1" applyBorder="1" applyAlignment="1" applyProtection="1">
      <alignment horizontal="right" vertical="center" shrinkToFit="1" readingOrder="2"/>
    </xf>
    <xf numFmtId="37" fontId="34" fillId="6" borderId="0" xfId="32" applyNumberFormat="1" applyFont="1" applyFill="1" applyBorder="1" applyAlignment="1" applyProtection="1">
      <alignment horizontal="right" vertical="center" readingOrder="2"/>
    </xf>
    <xf numFmtId="0" fontId="34" fillId="6" borderId="9" xfId="32" applyFont="1" applyFill="1" applyBorder="1" applyAlignment="1" applyProtection="1">
      <alignment horizontal="right" vertical="center" readingOrder="2"/>
    </xf>
    <xf numFmtId="49" fontId="34" fillId="6" borderId="8" xfId="32" applyNumberFormat="1" applyFont="1" applyFill="1" applyBorder="1" applyAlignment="1" applyProtection="1">
      <alignment horizontal="right" vertical="center" readingOrder="2"/>
    </xf>
    <xf numFmtId="39" fontId="34" fillId="7" borderId="68" xfId="32" applyNumberFormat="1" applyFont="1" applyFill="1" applyBorder="1" applyAlignment="1" applyProtection="1">
      <alignment horizontal="right" vertical="center" shrinkToFit="1" readingOrder="2"/>
    </xf>
    <xf numFmtId="39" fontId="34" fillId="8" borderId="101" xfId="32" applyNumberFormat="1" applyFont="1" applyFill="1" applyBorder="1" applyAlignment="1" applyProtection="1">
      <alignment horizontal="right" vertical="center" shrinkToFit="1" readingOrder="2"/>
      <protection locked="0"/>
    </xf>
    <xf numFmtId="187" fontId="34" fillId="8" borderId="71" xfId="32" applyNumberFormat="1" applyFont="1" applyFill="1" applyBorder="1" applyAlignment="1" applyProtection="1">
      <alignment horizontal="right" vertical="center" shrinkToFit="1" readingOrder="2"/>
      <protection locked="0"/>
    </xf>
    <xf numFmtId="187" fontId="34" fillId="8" borderId="83" xfId="32" applyNumberFormat="1" applyFont="1" applyFill="1" applyBorder="1" applyAlignment="1" applyProtection="1">
      <alignment horizontal="right" vertical="center" shrinkToFit="1" readingOrder="2"/>
      <protection locked="0"/>
    </xf>
    <xf numFmtId="187" fontId="34" fillId="8" borderId="73" xfId="32" applyNumberFormat="1" applyFont="1" applyFill="1" applyBorder="1" applyAlignment="1" applyProtection="1">
      <alignment horizontal="right" vertical="center" shrinkToFit="1" readingOrder="2"/>
      <protection locked="0"/>
    </xf>
    <xf numFmtId="187" fontId="34" fillId="8" borderId="102" xfId="32" applyNumberFormat="1" applyFont="1" applyFill="1" applyBorder="1" applyAlignment="1" applyProtection="1">
      <alignment horizontal="right" vertical="center" shrinkToFit="1" readingOrder="2"/>
      <protection locked="0"/>
    </xf>
    <xf numFmtId="0" fontId="34" fillId="6" borderId="37" xfId="32" applyFont="1" applyFill="1" applyBorder="1" applyAlignment="1" applyProtection="1">
      <alignment horizontal="right" vertical="center" readingOrder="2"/>
    </xf>
    <xf numFmtId="0" fontId="34" fillId="6" borderId="3" xfId="32" applyFont="1" applyFill="1" applyBorder="1" applyAlignment="1" applyProtection="1">
      <alignment horizontal="right" vertical="center" readingOrder="2"/>
    </xf>
    <xf numFmtId="4" fontId="34" fillId="6" borderId="3" xfId="32" applyNumberFormat="1" applyFont="1" applyFill="1" applyBorder="1" applyAlignment="1" applyProtection="1">
      <alignment horizontal="right" vertical="center" readingOrder="2"/>
    </xf>
    <xf numFmtId="0" fontId="34" fillId="6" borderId="21" xfId="32" applyFont="1" applyFill="1" applyBorder="1" applyAlignment="1" applyProtection="1">
      <alignment horizontal="right" vertical="center" readingOrder="2"/>
    </xf>
    <xf numFmtId="0" fontId="34" fillId="3" borderId="0" xfId="32" applyFont="1" applyFill="1" applyAlignment="1" applyProtection="1">
      <alignment horizontal="right" vertical="center" readingOrder="2"/>
      <protection locked="0"/>
    </xf>
    <xf numFmtId="0" fontId="34" fillId="2" borderId="25" xfId="32" applyFont="1" applyFill="1" applyBorder="1" applyAlignment="1" applyProtection="1">
      <alignment horizontal="right" vertical="center" readingOrder="2"/>
    </xf>
    <xf numFmtId="4" fontId="34" fillId="2" borderId="25" xfId="32" applyNumberFormat="1" applyFont="1" applyFill="1" applyBorder="1" applyAlignment="1" applyProtection="1">
      <alignment horizontal="right" vertical="center" readingOrder="2"/>
    </xf>
    <xf numFmtId="4" fontId="34" fillId="2" borderId="0" xfId="32" applyNumberFormat="1" applyFont="1" applyFill="1" applyAlignment="1" applyProtection="1">
      <alignment horizontal="right" vertical="center" readingOrder="2"/>
    </xf>
    <xf numFmtId="0" fontId="32" fillId="2" borderId="0" xfId="32" applyFont="1" applyFill="1" applyBorder="1" applyAlignment="1" applyProtection="1">
      <alignment horizontal="right" vertical="center" readingOrder="2"/>
    </xf>
    <xf numFmtId="0" fontId="35" fillId="2" borderId="0" xfId="32" applyFont="1" applyFill="1" applyBorder="1" applyAlignment="1" applyProtection="1">
      <alignment horizontal="right" vertical="center" readingOrder="2"/>
    </xf>
    <xf numFmtId="0" fontId="35" fillId="2" borderId="24" xfId="32" applyFont="1" applyFill="1" applyBorder="1" applyAlignment="1" applyProtection="1">
      <alignment horizontal="right" vertical="center" readingOrder="2"/>
    </xf>
    <xf numFmtId="37" fontId="35" fillId="2" borderId="0" xfId="32" applyNumberFormat="1" applyFont="1" applyFill="1" applyBorder="1" applyAlignment="1" applyProtection="1">
      <alignment horizontal="right" vertical="center" readingOrder="2"/>
    </xf>
    <xf numFmtId="165" fontId="32" fillId="2" borderId="0" xfId="32" applyNumberFormat="1" applyFont="1" applyFill="1" applyBorder="1" applyAlignment="1" applyProtection="1">
      <alignment horizontal="right" vertical="center" shrinkToFit="1" readingOrder="2"/>
    </xf>
    <xf numFmtId="37" fontId="32" fillId="2" borderId="0" xfId="32" applyNumberFormat="1" applyFont="1" applyFill="1" applyBorder="1" applyAlignment="1" applyProtection="1">
      <alignment horizontal="right" vertical="center" readingOrder="2"/>
    </xf>
    <xf numFmtId="49" fontId="32" fillId="2" borderId="0" xfId="32" applyNumberFormat="1" applyFont="1" applyFill="1" applyBorder="1" applyAlignment="1" applyProtection="1">
      <alignment horizontal="right" vertical="center" readingOrder="2"/>
    </xf>
    <xf numFmtId="39" fontId="32" fillId="2" borderId="0" xfId="32" applyNumberFormat="1" applyFont="1" applyFill="1" applyBorder="1" applyAlignment="1" applyProtection="1">
      <alignment horizontal="right" vertical="center" shrinkToFit="1" readingOrder="2"/>
    </xf>
    <xf numFmtId="187" fontId="32" fillId="2" borderId="0" xfId="32" applyNumberFormat="1" applyFont="1" applyFill="1" applyBorder="1" applyAlignment="1" applyProtection="1">
      <alignment horizontal="right" vertical="center" shrinkToFit="1" readingOrder="2"/>
    </xf>
    <xf numFmtId="4" fontId="32" fillId="2" borderId="0" xfId="32" applyNumberFormat="1" applyFont="1" applyFill="1" applyBorder="1" applyAlignment="1" applyProtection="1">
      <alignment horizontal="right" vertical="center" readingOrder="2"/>
    </xf>
    <xf numFmtId="0" fontId="53" fillId="4" borderId="0" xfId="25" applyFont="1" applyFill="1" applyBorder="1" applyAlignment="1" applyProtection="1">
      <alignment horizontal="right" vertical="center" readingOrder="2"/>
    </xf>
    <xf numFmtId="0" fontId="97" fillId="4" borderId="0" xfId="25" applyFont="1" applyFill="1" applyAlignment="1" applyProtection="1">
      <alignment horizontal="right" vertical="center" readingOrder="2"/>
    </xf>
    <xf numFmtId="0" fontId="18" fillId="4" borderId="0" xfId="25" applyFont="1" applyFill="1" applyAlignment="1" applyProtection="1">
      <alignment horizontal="right" vertical="center" readingOrder="2"/>
    </xf>
    <xf numFmtId="0" fontId="34" fillId="2" borderId="2" xfId="25" applyFont="1" applyFill="1" applyBorder="1" applyAlignment="1" applyProtection="1">
      <alignment horizontal="right" vertical="center" readingOrder="2"/>
    </xf>
    <xf numFmtId="0" fontId="34" fillId="2" borderId="0" xfId="25" applyFont="1" applyFill="1" applyBorder="1" applyAlignment="1" applyProtection="1">
      <alignment horizontal="right" vertical="center" readingOrder="2"/>
    </xf>
    <xf numFmtId="0" fontId="34" fillId="4" borderId="0" xfId="25" applyFont="1" applyFill="1" applyBorder="1" applyAlignment="1" applyProtection="1">
      <alignment horizontal="right" vertical="center" readingOrder="2"/>
    </xf>
    <xf numFmtId="0" fontId="43" fillId="3" borderId="3" xfId="25" applyFont="1" applyFill="1" applyBorder="1" applyAlignment="1" applyProtection="1">
      <alignment horizontal="center" vertical="center" readingOrder="2"/>
    </xf>
    <xf numFmtId="0" fontId="34" fillId="3" borderId="0" xfId="25" applyFont="1" applyFill="1" applyAlignment="1" applyProtection="1">
      <alignment horizontal="right" vertical="center" readingOrder="2"/>
    </xf>
    <xf numFmtId="0" fontId="68" fillId="5" borderId="53" xfId="14" applyFont="1" applyFill="1" applyBorder="1" applyAlignment="1" applyProtection="1">
      <alignment horizontal="right" vertical="center" readingOrder="2"/>
    </xf>
    <xf numFmtId="0" fontId="68" fillId="5" borderId="133" xfId="14" applyFont="1" applyFill="1" applyBorder="1" applyAlignment="1" applyProtection="1">
      <alignment horizontal="right" vertical="center" readingOrder="2"/>
    </xf>
    <xf numFmtId="0" fontId="68" fillId="5" borderId="134" xfId="14" applyFont="1" applyFill="1" applyBorder="1" applyAlignment="1" applyProtection="1">
      <alignment horizontal="right" vertical="center" readingOrder="2"/>
    </xf>
    <xf numFmtId="0" fontId="68" fillId="5" borderId="135" xfId="14" applyFont="1" applyFill="1" applyBorder="1" applyAlignment="1" applyProtection="1">
      <alignment horizontal="right" vertical="center" readingOrder="2"/>
    </xf>
    <xf numFmtId="0" fontId="67" fillId="5" borderId="135" xfId="14" applyFont="1" applyFill="1" applyBorder="1" applyAlignment="1" applyProtection="1">
      <alignment horizontal="right" vertical="center" readingOrder="2"/>
    </xf>
    <xf numFmtId="0" fontId="34" fillId="0" borderId="0" xfId="14" applyFont="1" applyBorder="1" applyAlignment="1" applyProtection="1">
      <alignment horizontal="right" vertical="center" readingOrder="2"/>
    </xf>
    <xf numFmtId="0" fontId="34" fillId="3" borderId="0" xfId="25" applyFont="1" applyFill="1" applyBorder="1" applyAlignment="1" applyProtection="1">
      <alignment horizontal="right" vertical="center" readingOrder="2"/>
    </xf>
    <xf numFmtId="0" fontId="68" fillId="5" borderId="136" xfId="25" applyFont="1" applyFill="1" applyBorder="1" applyAlignment="1" applyProtection="1">
      <alignment horizontal="right" vertical="center" readingOrder="2"/>
    </xf>
    <xf numFmtId="0" fontId="68" fillId="5" borderId="137" xfId="25" applyFont="1" applyFill="1" applyBorder="1" applyAlignment="1" applyProtection="1">
      <alignment horizontal="right" vertical="center" readingOrder="2"/>
    </xf>
    <xf numFmtId="0" fontId="68" fillId="5" borderId="138" xfId="25" applyFont="1" applyFill="1" applyBorder="1" applyAlignment="1" applyProtection="1">
      <alignment horizontal="right" vertical="center" readingOrder="2"/>
    </xf>
    <xf numFmtId="0" fontId="68" fillId="5" borderId="139" xfId="25" applyFont="1" applyFill="1" applyBorder="1" applyAlignment="1" applyProtection="1">
      <alignment horizontal="right" vertical="center" readingOrder="2"/>
    </xf>
    <xf numFmtId="38" fontId="68" fillId="5" borderId="138" xfId="25" applyNumberFormat="1" applyFont="1" applyFill="1" applyBorder="1" applyAlignment="1" applyProtection="1">
      <alignment horizontal="right" vertical="center" readingOrder="2"/>
    </xf>
    <xf numFmtId="0" fontId="68" fillId="5" borderId="31" xfId="25" applyFont="1" applyFill="1" applyBorder="1" applyAlignment="1" applyProtection="1">
      <alignment horizontal="right" vertical="center" readingOrder="2"/>
    </xf>
    <xf numFmtId="0" fontId="68" fillId="5" borderId="9" xfId="25" applyFont="1" applyFill="1" applyBorder="1" applyAlignment="1" applyProtection="1">
      <alignment horizontal="right" vertical="center" readingOrder="2"/>
    </xf>
    <xf numFmtId="0" fontId="34" fillId="0" borderId="0" xfId="25" applyFont="1" applyBorder="1" applyAlignment="1" applyProtection="1">
      <alignment horizontal="right" vertical="center" readingOrder="2"/>
    </xf>
    <xf numFmtId="0" fontId="68" fillId="5" borderId="8" xfId="25" applyFont="1" applyFill="1" applyBorder="1" applyAlignment="1" applyProtection="1">
      <alignment horizontal="right" vertical="center" readingOrder="2"/>
    </xf>
    <xf numFmtId="0" fontId="68" fillId="5" borderId="37" xfId="25" applyFont="1" applyFill="1" applyBorder="1" applyAlignment="1" applyProtection="1">
      <alignment horizontal="right" vertical="center" readingOrder="2"/>
    </xf>
    <xf numFmtId="0" fontId="68" fillId="5" borderId="34" xfId="25" applyFont="1" applyFill="1" applyBorder="1" applyAlignment="1" applyProtection="1">
      <alignment horizontal="right" vertical="center" readingOrder="2"/>
    </xf>
    <xf numFmtId="0" fontId="68" fillId="5" borderId="35" xfId="25" applyFont="1" applyFill="1" applyBorder="1" applyAlignment="1" applyProtection="1">
      <alignment horizontal="right" vertical="center" readingOrder="2"/>
    </xf>
    <xf numFmtId="38" fontId="68" fillId="5" borderId="34" xfId="25" applyNumberFormat="1" applyFont="1" applyFill="1" applyBorder="1" applyAlignment="1" applyProtection="1">
      <alignment horizontal="right" vertical="center" readingOrder="2"/>
    </xf>
    <xf numFmtId="0" fontId="68" fillId="5" borderId="140" xfId="25" applyFont="1" applyFill="1" applyBorder="1" applyAlignment="1" applyProtection="1">
      <alignment horizontal="right" vertical="center" readingOrder="2"/>
    </xf>
    <xf numFmtId="0" fontId="68" fillId="5" borderId="21" xfId="25" applyFont="1" applyFill="1" applyBorder="1" applyAlignment="1" applyProtection="1">
      <alignment horizontal="right" vertical="center" readingOrder="2"/>
    </xf>
    <xf numFmtId="165" fontId="34" fillId="8" borderId="141" xfId="25" applyNumberFormat="1" applyFont="1" applyFill="1" applyBorder="1" applyAlignment="1" applyProtection="1">
      <alignment horizontal="right" vertical="center" shrinkToFit="1" readingOrder="2"/>
      <protection locked="0"/>
    </xf>
    <xf numFmtId="165" fontId="34" fillId="8" borderId="127" xfId="25" applyNumberFormat="1" applyFont="1" applyFill="1" applyBorder="1" applyAlignment="1" applyProtection="1">
      <alignment horizontal="right" vertical="center" shrinkToFit="1" readingOrder="2"/>
      <protection locked="0"/>
    </xf>
    <xf numFmtId="165" fontId="34" fillId="7" borderId="127" xfId="25" applyNumberFormat="1" applyFont="1" applyFill="1" applyBorder="1" applyAlignment="1" applyProtection="1">
      <alignment horizontal="right" vertical="center" shrinkToFit="1" readingOrder="2"/>
    </xf>
    <xf numFmtId="0" fontId="34" fillId="6" borderId="142" xfId="25" applyFont="1" applyFill="1" applyBorder="1" applyAlignment="1" applyProtection="1">
      <alignment horizontal="right" vertical="center" readingOrder="2"/>
    </xf>
    <xf numFmtId="165" fontId="34" fillId="8" borderId="68" xfId="25" applyNumberFormat="1" applyFont="1" applyFill="1" applyBorder="1" applyAlignment="1" applyProtection="1">
      <alignment horizontal="right" vertical="center" shrinkToFit="1" readingOrder="2"/>
      <protection locked="0"/>
    </xf>
    <xf numFmtId="165" fontId="34" fillId="8" borderId="69" xfId="25" applyNumberFormat="1" applyFont="1" applyFill="1" applyBorder="1" applyAlignment="1" applyProtection="1">
      <alignment horizontal="right" vertical="center" shrinkToFit="1" readingOrder="2"/>
      <protection locked="0"/>
    </xf>
    <xf numFmtId="165" fontId="34" fillId="7" borderId="69" xfId="25" applyNumberFormat="1" applyFont="1" applyFill="1" applyBorder="1" applyAlignment="1" applyProtection="1">
      <alignment horizontal="right" vertical="center" shrinkToFit="1" readingOrder="2"/>
    </xf>
    <xf numFmtId="165" fontId="34" fillId="8" borderId="101" xfId="25" applyNumberFormat="1" applyFont="1" applyFill="1" applyBorder="1" applyAlignment="1" applyProtection="1">
      <alignment horizontal="right" vertical="center" shrinkToFit="1" readingOrder="2"/>
      <protection locked="0"/>
    </xf>
    <xf numFmtId="169" fontId="34" fillId="3" borderId="0" xfId="25" applyNumberFormat="1" applyFont="1" applyFill="1" applyBorder="1" applyAlignment="1" applyProtection="1">
      <alignment horizontal="right" vertical="center" readingOrder="2"/>
    </xf>
    <xf numFmtId="165" fontId="34" fillId="8" borderId="143" xfId="25" applyNumberFormat="1" applyFont="1" applyFill="1" applyBorder="1" applyAlignment="1" applyProtection="1">
      <alignment horizontal="right" vertical="center" shrinkToFit="1" readingOrder="2"/>
      <protection locked="0"/>
    </xf>
    <xf numFmtId="165" fontId="34" fillId="8" borderId="128" xfId="25" applyNumberFormat="1" applyFont="1" applyFill="1" applyBorder="1" applyAlignment="1" applyProtection="1">
      <alignment horizontal="right" vertical="center" shrinkToFit="1" readingOrder="2"/>
      <protection locked="0"/>
    </xf>
    <xf numFmtId="165" fontId="34" fillId="7" borderId="128" xfId="25" applyNumberFormat="1" applyFont="1" applyFill="1" applyBorder="1" applyAlignment="1" applyProtection="1">
      <alignment horizontal="right" vertical="center" shrinkToFit="1" readingOrder="2"/>
    </xf>
    <xf numFmtId="0" fontId="34" fillId="6" borderId="11" xfId="25" applyFont="1" applyFill="1" applyBorder="1" applyAlignment="1" applyProtection="1">
      <alignment horizontal="right" vertical="center" readingOrder="2"/>
    </xf>
    <xf numFmtId="165" fontId="34" fillId="8" borderId="70" xfId="25" applyNumberFormat="1" applyFont="1" applyFill="1" applyBorder="1" applyAlignment="1" applyProtection="1">
      <alignment horizontal="right" vertical="center" shrinkToFit="1" readingOrder="2"/>
      <protection locked="0"/>
    </xf>
    <xf numFmtId="165" fontId="34" fillId="8" borderId="71" xfId="25" applyNumberFormat="1" applyFont="1" applyFill="1" applyBorder="1" applyAlignment="1" applyProtection="1">
      <alignment horizontal="right" vertical="center" shrinkToFit="1" readingOrder="2"/>
      <protection locked="0"/>
    </xf>
    <xf numFmtId="165" fontId="34" fillId="7" borderId="71" xfId="25" applyNumberFormat="1" applyFont="1" applyFill="1" applyBorder="1" applyAlignment="1" applyProtection="1">
      <alignment horizontal="right" vertical="center" shrinkToFit="1" readingOrder="2"/>
    </xf>
    <xf numFmtId="165" fontId="34" fillId="8" borderId="83" xfId="25" applyNumberFormat="1" applyFont="1" applyFill="1" applyBorder="1" applyAlignment="1" applyProtection="1">
      <alignment horizontal="right" vertical="center" shrinkToFit="1" readingOrder="2"/>
      <protection locked="0"/>
    </xf>
    <xf numFmtId="0" fontId="34" fillId="6" borderId="11" xfId="14" applyFont="1" applyFill="1" applyBorder="1" applyAlignment="1" applyProtection="1">
      <alignment horizontal="right" vertical="center" readingOrder="2"/>
    </xf>
    <xf numFmtId="0" fontId="40" fillId="2" borderId="2" xfId="25" applyFont="1" applyFill="1" applyBorder="1" applyAlignment="1" applyProtection="1">
      <alignment horizontal="right" vertical="center" textRotation="180" wrapText="1" readingOrder="2"/>
    </xf>
    <xf numFmtId="165" fontId="34" fillId="7" borderId="91" xfId="25" applyNumberFormat="1" applyFont="1" applyFill="1" applyBorder="1" applyAlignment="1" applyProtection="1">
      <alignment horizontal="right" vertical="center" shrinkToFit="1" readingOrder="2"/>
    </xf>
    <xf numFmtId="0" fontId="34" fillId="6" borderId="11" xfId="25" applyFont="1" applyFill="1" applyBorder="1" applyAlignment="1" applyProtection="1">
      <alignment horizontal="right" vertical="center" readingOrder="2"/>
      <protection locked="0"/>
    </xf>
    <xf numFmtId="165" fontId="34" fillId="7" borderId="73" xfId="25" applyNumberFormat="1" applyFont="1" applyFill="1" applyBorder="1" applyAlignment="1" applyProtection="1">
      <alignment horizontal="right" vertical="center" shrinkToFit="1" readingOrder="2"/>
    </xf>
    <xf numFmtId="0" fontId="40" fillId="3" borderId="0" xfId="25" applyFont="1" applyFill="1" applyBorder="1" applyAlignment="1" applyProtection="1">
      <alignment horizontal="right" vertical="center" readingOrder="2"/>
    </xf>
    <xf numFmtId="165" fontId="40" fillId="9" borderId="144" xfId="25" applyNumberFormat="1" applyFont="1" applyFill="1" applyBorder="1" applyAlignment="1" applyProtection="1">
      <alignment horizontal="right" vertical="center" shrinkToFit="1" readingOrder="2"/>
    </xf>
    <xf numFmtId="0" fontId="40" fillId="9" borderId="93" xfId="25" applyFont="1" applyFill="1" applyBorder="1" applyAlignment="1" applyProtection="1">
      <alignment horizontal="right" vertical="center" shrinkToFit="1" readingOrder="2"/>
    </xf>
    <xf numFmtId="0" fontId="40" fillId="9" borderId="94" xfId="25" applyFont="1" applyFill="1" applyBorder="1" applyAlignment="1" applyProtection="1">
      <alignment horizontal="right" vertical="center" shrinkToFit="1" readingOrder="2"/>
    </xf>
    <xf numFmtId="0" fontId="40" fillId="6" borderId="11" xfId="25" applyFont="1" applyFill="1" applyBorder="1" applyAlignment="1" applyProtection="1">
      <alignment horizontal="right" vertical="center" readingOrder="2"/>
    </xf>
    <xf numFmtId="165" fontId="40" fillId="9" borderId="92" xfId="25" applyNumberFormat="1" applyFont="1" applyFill="1" applyBorder="1" applyAlignment="1" applyProtection="1">
      <alignment horizontal="right" vertical="center" shrinkToFit="1" readingOrder="2"/>
    </xf>
    <xf numFmtId="165" fontId="40" fillId="9" borderId="93" xfId="25" applyNumberFormat="1" applyFont="1" applyFill="1" applyBorder="1" applyAlignment="1" applyProtection="1">
      <alignment horizontal="right" vertical="center" shrinkToFit="1" readingOrder="2"/>
    </xf>
    <xf numFmtId="165" fontId="40" fillId="9" borderId="106" xfId="25" applyNumberFormat="1" applyFont="1" applyFill="1" applyBorder="1" applyAlignment="1" applyProtection="1">
      <alignment horizontal="right" vertical="center" shrinkToFit="1" readingOrder="2"/>
    </xf>
    <xf numFmtId="0" fontId="40" fillId="0" borderId="0" xfId="25" applyFont="1" applyBorder="1" applyAlignment="1" applyProtection="1">
      <alignment horizontal="right" vertical="center" readingOrder="2"/>
    </xf>
    <xf numFmtId="0" fontId="40" fillId="2" borderId="2" xfId="25" applyFont="1" applyFill="1" applyBorder="1" applyAlignment="1" applyProtection="1">
      <alignment horizontal="right" vertical="center" readingOrder="2"/>
    </xf>
    <xf numFmtId="0" fontId="40" fillId="2" borderId="0" xfId="25" applyFont="1" applyFill="1" applyBorder="1" applyAlignment="1" applyProtection="1">
      <alignment horizontal="right" vertical="center" readingOrder="2"/>
    </xf>
    <xf numFmtId="0" fontId="34" fillId="8" borderId="145" xfId="25" applyFont="1" applyFill="1" applyBorder="1" applyAlignment="1" applyProtection="1">
      <alignment horizontal="right" vertical="center" shrinkToFit="1" readingOrder="2"/>
      <protection locked="0"/>
    </xf>
    <xf numFmtId="169" fontId="34" fillId="8" borderId="9" xfId="25" applyNumberFormat="1" applyFont="1" applyFill="1" applyBorder="1" applyAlignment="1" applyProtection="1">
      <alignment horizontal="right" vertical="center" shrinkToFit="1" readingOrder="2"/>
      <protection locked="0"/>
    </xf>
    <xf numFmtId="165" fontId="40" fillId="7" borderId="146" xfId="25" applyNumberFormat="1" applyFont="1" applyFill="1" applyBorder="1" applyAlignment="1" applyProtection="1">
      <alignment horizontal="right" vertical="center" shrinkToFit="1" readingOrder="2"/>
    </xf>
    <xf numFmtId="165" fontId="40" fillId="7" borderId="75" xfId="25" applyNumberFormat="1" applyFont="1" applyFill="1" applyBorder="1" applyAlignment="1" applyProtection="1">
      <alignment horizontal="right" vertical="center" shrinkToFit="1" readingOrder="2"/>
    </xf>
    <xf numFmtId="165" fontId="40" fillId="7" borderId="95" xfId="25" applyNumberFormat="1" applyFont="1" applyFill="1" applyBorder="1" applyAlignment="1" applyProtection="1">
      <alignment horizontal="right" vertical="center" shrinkToFit="1" readingOrder="2"/>
    </xf>
    <xf numFmtId="165" fontId="40" fillId="7" borderId="74" xfId="25" applyNumberFormat="1" applyFont="1" applyFill="1" applyBorder="1" applyAlignment="1" applyProtection="1">
      <alignment horizontal="right" vertical="center" shrinkToFit="1" readingOrder="2"/>
    </xf>
    <xf numFmtId="165" fontId="40" fillId="7" borderId="76" xfId="25" applyNumberFormat="1" applyFont="1" applyFill="1" applyBorder="1" applyAlignment="1" applyProtection="1">
      <alignment horizontal="right" vertical="center" shrinkToFit="1" readingOrder="2"/>
    </xf>
    <xf numFmtId="0" fontId="34" fillId="6" borderId="37" xfId="25" applyFont="1" applyFill="1" applyBorder="1" applyAlignment="1" applyProtection="1">
      <alignment horizontal="right" vertical="center" readingOrder="2"/>
    </xf>
    <xf numFmtId="0" fontId="34" fillId="6" borderId="3" xfId="25" applyFont="1" applyFill="1" applyBorder="1" applyAlignment="1" applyProtection="1">
      <alignment horizontal="right" vertical="center" readingOrder="2"/>
    </xf>
    <xf numFmtId="38" fontId="34" fillId="6" borderId="3" xfId="25" applyNumberFormat="1" applyFont="1" applyFill="1" applyBorder="1" applyAlignment="1" applyProtection="1">
      <alignment horizontal="right" vertical="center" readingOrder="2"/>
    </xf>
    <xf numFmtId="165" fontId="34" fillId="6" borderId="3" xfId="25" applyNumberFormat="1" applyFont="1" applyFill="1" applyBorder="1" applyAlignment="1" applyProtection="1">
      <alignment horizontal="right" vertical="center" readingOrder="2"/>
    </xf>
    <xf numFmtId="165" fontId="34" fillId="6" borderId="21" xfId="25" applyNumberFormat="1" applyFont="1" applyFill="1" applyBorder="1" applyAlignment="1" applyProtection="1">
      <alignment horizontal="right" vertical="center" readingOrder="2"/>
    </xf>
    <xf numFmtId="38" fontId="34" fillId="3" borderId="0" xfId="25" applyNumberFormat="1" applyFont="1" applyFill="1" applyAlignment="1" applyProtection="1">
      <alignment horizontal="right" vertical="center" readingOrder="2"/>
    </xf>
    <xf numFmtId="165" fontId="34" fillId="3" borderId="0" xfId="25" applyNumberFormat="1" applyFont="1" applyFill="1" applyAlignment="1" applyProtection="1">
      <alignment horizontal="right" vertical="center" readingOrder="2"/>
    </xf>
    <xf numFmtId="0" fontId="34" fillId="3" borderId="0" xfId="25" applyFont="1" applyFill="1" applyAlignment="1" applyProtection="1">
      <alignment horizontal="right" vertical="center" readingOrder="2"/>
      <protection locked="0"/>
    </xf>
    <xf numFmtId="0" fontId="34" fillId="3" borderId="147" xfId="25" applyFont="1" applyFill="1" applyBorder="1" applyAlignment="1" applyProtection="1">
      <alignment horizontal="right" vertical="center" readingOrder="2"/>
    </xf>
    <xf numFmtId="0" fontId="34" fillId="2" borderId="25" xfId="25" applyFont="1" applyFill="1" applyBorder="1" applyAlignment="1" applyProtection="1">
      <alignment horizontal="right" vertical="center" readingOrder="2"/>
    </xf>
    <xf numFmtId="38" fontId="34" fillId="2" borderId="25" xfId="25" applyNumberFormat="1" applyFont="1" applyFill="1" applyBorder="1" applyAlignment="1" applyProtection="1">
      <alignment horizontal="right" vertical="center" readingOrder="2"/>
    </xf>
    <xf numFmtId="165" fontId="34" fillId="2" borderId="25" xfId="25" applyNumberFormat="1" applyFont="1" applyFill="1" applyBorder="1" applyAlignment="1" applyProtection="1">
      <alignment horizontal="right" vertical="center" readingOrder="2"/>
    </xf>
    <xf numFmtId="0" fontId="34" fillId="2" borderId="0" xfId="25" applyFont="1" applyFill="1" applyAlignment="1" applyProtection="1">
      <alignment horizontal="right" vertical="center" readingOrder="2"/>
    </xf>
    <xf numFmtId="38" fontId="34" fillId="2" borderId="0" xfId="25" applyNumberFormat="1" applyFont="1" applyFill="1" applyAlignment="1" applyProtection="1">
      <alignment horizontal="right" vertical="center" readingOrder="2"/>
    </xf>
    <xf numFmtId="165" fontId="34" fillId="2" borderId="0" xfId="25" applyNumberFormat="1" applyFont="1" applyFill="1" applyAlignment="1" applyProtection="1">
      <alignment horizontal="right" vertical="center" readingOrder="2"/>
    </xf>
    <xf numFmtId="0" fontId="33" fillId="2" borderId="42" xfId="14" applyFont="1" applyFill="1" applyBorder="1" applyAlignment="1" applyProtection="1">
      <alignment horizontal="right" vertical="center" readingOrder="2"/>
    </xf>
    <xf numFmtId="0" fontId="33" fillId="2" borderId="43" xfId="14" applyFont="1" applyFill="1" applyBorder="1" applyAlignment="1" applyProtection="1">
      <alignment horizontal="right" vertical="center" readingOrder="2"/>
    </xf>
    <xf numFmtId="0" fontId="33" fillId="2" borderId="44" xfId="14" applyFont="1" applyFill="1" applyBorder="1" applyAlignment="1" applyProtection="1">
      <alignment horizontal="right" vertical="center" readingOrder="2"/>
    </xf>
    <xf numFmtId="165" fontId="33" fillId="2" borderId="1" xfId="25" applyNumberFormat="1" applyFont="1" applyFill="1" applyBorder="1" applyAlignment="1" applyProtection="1">
      <alignment horizontal="right" vertical="center" shrinkToFit="1" readingOrder="2"/>
    </xf>
    <xf numFmtId="0" fontId="33" fillId="2" borderId="39" xfId="25" applyFont="1" applyFill="1" applyBorder="1" applyAlignment="1" applyProtection="1">
      <alignment horizontal="right" vertical="center" shrinkToFit="1" readingOrder="2"/>
    </xf>
    <xf numFmtId="0" fontId="33" fillId="2" borderId="40" xfId="25" applyFont="1" applyFill="1" applyBorder="1" applyAlignment="1" applyProtection="1">
      <alignment horizontal="right" vertical="center" readingOrder="2"/>
    </xf>
    <xf numFmtId="0" fontId="38" fillId="2" borderId="98" xfId="25" applyFont="1" applyFill="1" applyBorder="1" applyAlignment="1" applyProtection="1">
      <alignment horizontal="right" vertical="center" shrinkToFit="1" readingOrder="2"/>
    </xf>
    <xf numFmtId="165" fontId="38" fillId="2" borderId="98" xfId="25" applyNumberFormat="1" applyFont="1" applyFill="1" applyBorder="1" applyAlignment="1" applyProtection="1">
      <alignment horizontal="right" vertical="center" shrinkToFit="1" readingOrder="2"/>
    </xf>
    <xf numFmtId="0" fontId="33" fillId="2" borderId="148" xfId="25" applyFont="1" applyFill="1" applyBorder="1" applyAlignment="1" applyProtection="1">
      <alignment horizontal="right" vertical="center" shrinkToFit="1" readingOrder="2"/>
    </xf>
    <xf numFmtId="0" fontId="33" fillId="2" borderId="46" xfId="25" applyFont="1" applyFill="1" applyBorder="1" applyAlignment="1" applyProtection="1">
      <alignment horizontal="right" vertical="center" shrinkToFit="1" readingOrder="2"/>
    </xf>
    <xf numFmtId="165" fontId="33" fillId="2" borderId="46" xfId="25" applyNumberFormat="1" applyFont="1" applyFill="1" applyBorder="1" applyAlignment="1" applyProtection="1">
      <alignment horizontal="right" vertical="center" shrinkToFit="1" readingOrder="2"/>
    </xf>
    <xf numFmtId="169" fontId="33" fillId="2" borderId="46" xfId="25" applyNumberFormat="1" applyFont="1" applyFill="1" applyBorder="1" applyAlignment="1" applyProtection="1">
      <alignment horizontal="right" vertical="center" shrinkToFit="1" readingOrder="2"/>
    </xf>
    <xf numFmtId="169" fontId="33" fillId="2" borderId="45" xfId="25" applyNumberFormat="1" applyFont="1" applyFill="1" applyBorder="1" applyAlignment="1" applyProtection="1">
      <alignment horizontal="right" vertical="center" shrinkToFit="1" readingOrder="2"/>
    </xf>
    <xf numFmtId="165" fontId="38" fillId="2" borderId="84" xfId="25" applyNumberFormat="1" applyFont="1" applyFill="1" applyBorder="1" applyAlignment="1" applyProtection="1">
      <alignment horizontal="right" vertical="center" shrinkToFit="1" readingOrder="2"/>
    </xf>
    <xf numFmtId="0" fontId="33" fillId="2" borderId="149" xfId="25" applyFont="1" applyFill="1" applyBorder="1" applyAlignment="1" applyProtection="1">
      <alignment horizontal="right" vertical="center" readingOrder="2"/>
    </xf>
    <xf numFmtId="0" fontId="38" fillId="2" borderId="150" xfId="25" applyFont="1" applyFill="1" applyBorder="1" applyAlignment="1" applyProtection="1">
      <alignment horizontal="right" vertical="center" readingOrder="2"/>
    </xf>
    <xf numFmtId="0" fontId="33" fillId="2" borderId="45" xfId="25" applyFont="1" applyFill="1" applyBorder="1" applyAlignment="1" applyProtection="1">
      <alignment horizontal="right" vertical="center" readingOrder="2"/>
    </xf>
    <xf numFmtId="0" fontId="33" fillId="2" borderId="24" xfId="25" applyFont="1" applyFill="1" applyBorder="1" applyAlignment="1" applyProtection="1">
      <alignment horizontal="right" vertical="center" readingOrder="2"/>
    </xf>
    <xf numFmtId="38" fontId="33" fillId="2" borderId="24" xfId="25" applyNumberFormat="1" applyFont="1" applyFill="1" applyBorder="1" applyAlignment="1" applyProtection="1">
      <alignment horizontal="right" vertical="center" readingOrder="2"/>
    </xf>
    <xf numFmtId="165" fontId="33" fillId="2" borderId="24" xfId="25" applyNumberFormat="1" applyFont="1" applyFill="1" applyBorder="1" applyAlignment="1" applyProtection="1">
      <alignment horizontal="right" vertical="center" readingOrder="2"/>
    </xf>
    <xf numFmtId="165" fontId="33" fillId="2" borderId="47" xfId="25" applyNumberFormat="1" applyFont="1" applyFill="1" applyBorder="1" applyAlignment="1" applyProtection="1">
      <alignment horizontal="right" vertical="center" readingOrder="2"/>
    </xf>
    <xf numFmtId="1" fontId="100" fillId="4" borderId="0" xfId="14" applyNumberFormat="1" applyFont="1" applyFill="1" applyBorder="1" applyAlignment="1" applyProtection="1">
      <alignment horizontal="right" vertical="center" readingOrder="2"/>
    </xf>
    <xf numFmtId="0" fontId="101" fillId="4" borderId="0" xfId="14" applyFont="1" applyFill="1" applyBorder="1" applyAlignment="1" applyProtection="1">
      <alignment horizontal="right" vertical="center" readingOrder="2"/>
    </xf>
    <xf numFmtId="0" fontId="97" fillId="4" borderId="0" xfId="14" applyFont="1" applyFill="1" applyAlignment="1" applyProtection="1">
      <alignment horizontal="right" vertical="center" readingOrder="2"/>
    </xf>
    <xf numFmtId="0" fontId="102" fillId="4" borderId="0" xfId="14" applyFont="1" applyFill="1" applyAlignment="1" applyProtection="1">
      <alignment horizontal="right" vertical="center" readingOrder="2"/>
    </xf>
    <xf numFmtId="0" fontId="102" fillId="4" borderId="0" xfId="14" quotePrefix="1" applyFont="1" applyFill="1" applyAlignment="1" applyProtection="1">
      <alignment horizontal="right" vertical="center" readingOrder="2"/>
    </xf>
    <xf numFmtId="0" fontId="102" fillId="3" borderId="0" xfId="14" quotePrefix="1" applyFont="1" applyFill="1" applyAlignment="1" applyProtection="1">
      <alignment horizontal="right" vertical="center" readingOrder="2"/>
    </xf>
    <xf numFmtId="0" fontId="55" fillId="3" borderId="0" xfId="14" applyFont="1" applyFill="1" applyAlignment="1" applyProtection="1">
      <alignment horizontal="center" vertical="center" readingOrder="2"/>
    </xf>
    <xf numFmtId="37" fontId="40" fillId="3" borderId="0" xfId="14" applyNumberFormat="1" applyFont="1" applyFill="1" applyAlignment="1" applyProtection="1">
      <alignment horizontal="right" vertical="center" readingOrder="2"/>
    </xf>
    <xf numFmtId="0" fontId="34" fillId="3" borderId="0" xfId="14" quotePrefix="1" applyFont="1" applyFill="1" applyAlignment="1" applyProtection="1">
      <alignment horizontal="right" vertical="center" readingOrder="2"/>
    </xf>
    <xf numFmtId="37" fontId="56" fillId="3" borderId="0" xfId="16" applyFont="1" applyFill="1" applyAlignment="1" applyProtection="1">
      <alignment horizontal="right" vertical="center" readingOrder="2"/>
    </xf>
    <xf numFmtId="0" fontId="22" fillId="3" borderId="0" xfId="14" applyFont="1" applyFill="1" applyAlignment="1" applyProtection="1">
      <alignment horizontal="right" vertical="center" readingOrder="2"/>
    </xf>
    <xf numFmtId="37" fontId="68" fillId="5" borderId="5" xfId="16" applyFont="1" applyFill="1" applyBorder="1" applyAlignment="1" applyProtection="1">
      <alignment horizontal="right" vertical="center" readingOrder="2"/>
    </xf>
    <xf numFmtId="0" fontId="68" fillId="5" borderId="6" xfId="14" quotePrefix="1" applyFont="1" applyFill="1" applyBorder="1" applyAlignment="1" applyProtection="1">
      <alignment horizontal="right" vertical="center" shrinkToFit="1" readingOrder="2"/>
    </xf>
    <xf numFmtId="0" fontId="68" fillId="5" borderId="7" xfId="14" quotePrefix="1" applyFont="1" applyFill="1" applyBorder="1" applyAlignment="1" applyProtection="1">
      <alignment horizontal="right" vertical="center" shrinkToFit="1" readingOrder="2"/>
    </xf>
    <xf numFmtId="0" fontId="68" fillId="5" borderId="5" xfId="14" applyFont="1" applyFill="1" applyBorder="1" applyAlignment="1" applyProtection="1">
      <alignment horizontal="right" vertical="center" readingOrder="2"/>
    </xf>
    <xf numFmtId="0" fontId="68" fillId="5" borderId="6" xfId="14" applyFont="1" applyFill="1" applyBorder="1" applyAlignment="1" applyProtection="1">
      <alignment horizontal="right" vertical="center" readingOrder="2"/>
    </xf>
    <xf numFmtId="0" fontId="68" fillId="5" borderId="6" xfId="14" quotePrefix="1" applyFont="1" applyFill="1" applyBorder="1" applyAlignment="1" applyProtection="1">
      <alignment horizontal="right" vertical="center" readingOrder="2"/>
    </xf>
    <xf numFmtId="0" fontId="68" fillId="5" borderId="7" xfId="14" quotePrefix="1" applyFont="1" applyFill="1" applyBorder="1" applyAlignment="1" applyProtection="1">
      <alignment horizontal="right" vertical="center" readingOrder="2"/>
    </xf>
    <xf numFmtId="37" fontId="34" fillId="6" borderId="8" xfId="16" applyFont="1" applyFill="1" applyBorder="1" applyAlignment="1" applyProtection="1">
      <alignment horizontal="right" vertical="center" readingOrder="2"/>
    </xf>
    <xf numFmtId="37" fontId="34" fillId="6" borderId="0" xfId="16" applyFont="1" applyFill="1" applyBorder="1" applyAlignment="1" applyProtection="1">
      <alignment horizontal="right" vertical="center" readingOrder="2"/>
    </xf>
    <xf numFmtId="37" fontId="34" fillId="3" borderId="0" xfId="14" applyNumberFormat="1" applyFont="1" applyFill="1" applyAlignment="1" applyProtection="1">
      <alignment horizontal="right" vertical="center" readingOrder="2"/>
    </xf>
    <xf numFmtId="41" fontId="34" fillId="6" borderId="0" xfId="14" applyNumberFormat="1" applyFont="1" applyFill="1" applyBorder="1" applyAlignment="1" applyProtection="1">
      <alignment horizontal="right" vertical="center" shrinkToFit="1" readingOrder="2"/>
    </xf>
    <xf numFmtId="41" fontId="34" fillId="6" borderId="9" xfId="14" applyNumberFormat="1" applyFont="1" applyFill="1" applyBorder="1" applyAlignment="1" applyProtection="1">
      <alignment horizontal="right" vertical="center" shrinkToFit="1" readingOrder="2"/>
    </xf>
    <xf numFmtId="37" fontId="34" fillId="6" borderId="0" xfId="16" applyFont="1" applyFill="1" applyBorder="1" applyAlignment="1" applyProtection="1">
      <alignment horizontal="right" vertical="center" shrinkToFit="1" readingOrder="2"/>
    </xf>
    <xf numFmtId="37" fontId="34" fillId="6" borderId="9" xfId="16" applyFont="1" applyFill="1" applyBorder="1" applyAlignment="1" applyProtection="1">
      <alignment horizontal="right" vertical="center" shrinkToFit="1" readingOrder="2"/>
    </xf>
    <xf numFmtId="0" fontId="4" fillId="6" borderId="8" xfId="14" applyFill="1" applyBorder="1" applyAlignment="1" applyProtection="1">
      <alignment horizontal="right" vertical="center" readingOrder="2"/>
    </xf>
    <xf numFmtId="37" fontId="34" fillId="6" borderId="8" xfId="14" applyNumberFormat="1" applyFont="1" applyFill="1" applyBorder="1" applyAlignment="1" applyProtection="1">
      <alignment horizontal="right" vertical="center" readingOrder="2"/>
    </xf>
    <xf numFmtId="37" fontId="34" fillId="6" borderId="37" xfId="16" applyFont="1" applyFill="1" applyBorder="1" applyAlignment="1" applyProtection="1">
      <alignment horizontal="right" vertical="center" readingOrder="2"/>
    </xf>
    <xf numFmtId="37" fontId="34" fillId="6" borderId="3" xfId="14" quotePrefix="1" applyNumberFormat="1" applyFont="1" applyFill="1" applyBorder="1" applyAlignment="1" applyProtection="1">
      <alignment horizontal="right" vertical="center" readingOrder="2"/>
    </xf>
    <xf numFmtId="37" fontId="34" fillId="6" borderId="21" xfId="14" quotePrefix="1" applyNumberFormat="1" applyFont="1" applyFill="1" applyBorder="1" applyAlignment="1" applyProtection="1">
      <alignment horizontal="right" vertical="center" readingOrder="2"/>
    </xf>
    <xf numFmtId="37" fontId="34" fillId="6" borderId="37" xfId="14" applyNumberFormat="1" applyFont="1" applyFill="1" applyBorder="1" applyAlignment="1" applyProtection="1">
      <alignment horizontal="right" vertical="center" readingOrder="2"/>
    </xf>
    <xf numFmtId="37" fontId="34" fillId="6" borderId="3" xfId="14" applyNumberFormat="1" applyFont="1" applyFill="1" applyBorder="1" applyAlignment="1" applyProtection="1">
      <alignment horizontal="right" vertical="center" readingOrder="2"/>
    </xf>
    <xf numFmtId="37" fontId="34" fillId="6" borderId="21" xfId="14" applyNumberFormat="1" applyFont="1" applyFill="1" applyBorder="1" applyAlignment="1" applyProtection="1">
      <alignment horizontal="right" vertical="center" readingOrder="2"/>
    </xf>
    <xf numFmtId="16" fontId="34" fillId="3" borderId="0" xfId="14" quotePrefix="1" applyNumberFormat="1" applyFont="1" applyFill="1" applyAlignment="1" applyProtection="1">
      <alignment horizontal="right" vertical="center" readingOrder="2"/>
    </xf>
    <xf numFmtId="37" fontId="68" fillId="5" borderId="53" xfId="16" applyFont="1" applyFill="1" applyBorder="1" applyAlignment="1" applyProtection="1">
      <alignment horizontal="right" vertical="center" readingOrder="2"/>
    </xf>
    <xf numFmtId="37" fontId="68" fillId="5" borderId="38" xfId="14" applyNumberFormat="1" applyFont="1" applyFill="1" applyBorder="1" applyAlignment="1" applyProtection="1">
      <alignment horizontal="right" vertical="center" readingOrder="2"/>
    </xf>
    <xf numFmtId="0" fontId="68" fillId="5" borderId="90" xfId="14" applyFont="1" applyFill="1" applyBorder="1" applyAlignment="1" applyProtection="1">
      <alignment horizontal="right" vertical="center" readingOrder="2"/>
    </xf>
    <xf numFmtId="37" fontId="68" fillId="5" borderId="37" xfId="16" applyFont="1" applyFill="1" applyBorder="1" applyAlignment="1" applyProtection="1">
      <alignment horizontal="right" vertical="center" readingOrder="2"/>
    </xf>
    <xf numFmtId="0" fontId="68" fillId="5" borderId="3" xfId="14" quotePrefix="1" applyFont="1" applyFill="1" applyBorder="1" applyAlignment="1" applyProtection="1">
      <alignment horizontal="right" vertical="center" readingOrder="2"/>
    </xf>
    <xf numFmtId="37" fontId="68" fillId="5" borderId="3" xfId="14" applyNumberFormat="1" applyFont="1" applyFill="1" applyBorder="1" applyAlignment="1" applyProtection="1">
      <alignment horizontal="right" vertical="center" readingOrder="2"/>
    </xf>
    <xf numFmtId="37" fontId="68" fillId="5" borderId="21" xfId="14" applyNumberFormat="1" applyFont="1" applyFill="1" applyBorder="1" applyAlignment="1" applyProtection="1">
      <alignment horizontal="right" vertical="center" readingOrder="2"/>
    </xf>
    <xf numFmtId="37" fontId="34" fillId="6" borderId="8" xfId="16" applyFont="1" applyFill="1" applyBorder="1" applyAlignment="1" applyProtection="1">
      <alignment horizontal="right" vertical="center" wrapText="1" readingOrder="2"/>
    </xf>
    <xf numFmtId="37" fontId="34" fillId="6" borderId="3" xfId="16" applyFont="1" applyFill="1" applyBorder="1" applyAlignment="1" applyProtection="1">
      <alignment horizontal="right" vertical="center" readingOrder="2"/>
    </xf>
    <xf numFmtId="37" fontId="34" fillId="6" borderId="21" xfId="16" applyFont="1" applyFill="1" applyBorder="1" applyAlignment="1" applyProtection="1">
      <alignment horizontal="right" vertical="center" readingOrder="2"/>
    </xf>
    <xf numFmtId="37" fontId="67" fillId="5" borderId="53" xfId="16" applyFont="1" applyFill="1" applyBorder="1" applyAlignment="1" applyProtection="1">
      <alignment horizontal="right" vertical="center" readingOrder="2"/>
    </xf>
    <xf numFmtId="37" fontId="67" fillId="5" borderId="38" xfId="14" applyNumberFormat="1" applyFont="1" applyFill="1" applyBorder="1" applyAlignment="1" applyProtection="1">
      <alignment horizontal="right" vertical="center" readingOrder="2"/>
    </xf>
    <xf numFmtId="37" fontId="67" fillId="5" borderId="90" xfId="14" applyNumberFormat="1" applyFont="1" applyFill="1" applyBorder="1" applyAlignment="1" applyProtection="1">
      <alignment horizontal="right" vertical="center" readingOrder="2"/>
    </xf>
    <xf numFmtId="37" fontId="67" fillId="5" borderId="37" xfId="16" applyFont="1" applyFill="1" applyBorder="1" applyAlignment="1" applyProtection="1">
      <alignment horizontal="right" vertical="center" readingOrder="2"/>
    </xf>
    <xf numFmtId="0" fontId="67" fillId="5" borderId="3" xfId="14" quotePrefix="1" applyFont="1" applyFill="1" applyBorder="1" applyAlignment="1" applyProtection="1">
      <alignment horizontal="right" vertical="center" readingOrder="2"/>
    </xf>
    <xf numFmtId="1" fontId="67" fillId="5" borderId="3" xfId="14" applyNumberFormat="1" applyFont="1" applyFill="1" applyBorder="1" applyAlignment="1" applyProtection="1">
      <alignment horizontal="right" vertical="center" readingOrder="2"/>
    </xf>
    <xf numFmtId="1" fontId="67" fillId="5" borderId="21" xfId="14" applyNumberFormat="1" applyFont="1" applyFill="1" applyBorder="1" applyAlignment="1" applyProtection="1">
      <alignment horizontal="right" vertical="center" readingOrder="2"/>
    </xf>
    <xf numFmtId="37" fontId="34" fillId="3" borderId="0" xfId="16" applyFont="1" applyFill="1" applyAlignment="1" applyProtection="1">
      <alignment horizontal="right" vertical="center" readingOrder="2"/>
    </xf>
    <xf numFmtId="165" fontId="32" fillId="7" borderId="155" xfId="14" applyNumberFormat="1" applyFont="1" applyFill="1" applyBorder="1" applyAlignment="1" applyProtection="1">
      <alignment horizontal="right" vertical="center" shrinkToFit="1" readingOrder="2"/>
    </xf>
    <xf numFmtId="165" fontId="32" fillId="7" borderId="151" xfId="14" applyNumberFormat="1" applyFont="1" applyFill="1" applyBorder="1" applyAlignment="1" applyProtection="1">
      <alignment horizontal="right" vertical="center" shrinkToFit="1" readingOrder="2"/>
    </xf>
    <xf numFmtId="165" fontId="32" fillId="7" borderId="70" xfId="14" applyNumberFormat="1" applyFont="1" applyFill="1" applyBorder="1" applyAlignment="1" applyProtection="1">
      <alignment horizontal="right" vertical="center" shrinkToFit="1" readingOrder="2"/>
    </xf>
    <xf numFmtId="165" fontId="32" fillId="7" borderId="71" xfId="14" applyNumberFormat="1" applyFont="1" applyFill="1" applyBorder="1" applyAlignment="1" applyProtection="1">
      <alignment horizontal="right" vertical="center" shrinkToFit="1" readingOrder="2"/>
    </xf>
    <xf numFmtId="165" fontId="32" fillId="7" borderId="156" xfId="14" applyNumberFormat="1" applyFont="1" applyFill="1" applyBorder="1" applyAlignment="1" applyProtection="1">
      <alignment horizontal="right" vertical="center" shrinkToFit="1" readingOrder="2"/>
    </xf>
    <xf numFmtId="165" fontId="32" fillId="7" borderId="153" xfId="14" applyNumberFormat="1" applyFont="1" applyFill="1" applyBorder="1" applyAlignment="1" applyProtection="1">
      <alignment horizontal="right" vertical="center" shrinkToFit="1" readingOrder="2"/>
    </xf>
    <xf numFmtId="37" fontId="34" fillId="6" borderId="0" xfId="14" quotePrefix="1" applyNumberFormat="1" applyFont="1" applyFill="1" applyBorder="1" applyAlignment="1" applyProtection="1">
      <alignment horizontal="right" vertical="center" readingOrder="2"/>
    </xf>
    <xf numFmtId="37" fontId="34" fillId="6" borderId="9" xfId="14" quotePrefix="1" applyNumberFormat="1" applyFont="1" applyFill="1" applyBorder="1" applyAlignment="1" applyProtection="1">
      <alignment horizontal="right" vertical="center" readingOrder="2"/>
    </xf>
    <xf numFmtId="165" fontId="32" fillId="7" borderId="157" xfId="14" applyNumberFormat="1" applyFont="1" applyFill="1" applyBorder="1" applyAlignment="1" applyProtection="1">
      <alignment horizontal="right" vertical="center" shrinkToFit="1" readingOrder="2"/>
    </xf>
    <xf numFmtId="165" fontId="32" fillId="7" borderId="158" xfId="14" applyNumberFormat="1" applyFont="1" applyFill="1" applyBorder="1" applyAlignment="1" applyProtection="1">
      <alignment horizontal="right" vertical="center" shrinkToFit="1" readingOrder="2"/>
    </xf>
    <xf numFmtId="37" fontId="34" fillId="6" borderId="0" xfId="14" applyNumberFormat="1" applyFont="1" applyFill="1" applyBorder="1" applyAlignment="1" applyProtection="1">
      <alignment horizontal="right" vertical="center" shrinkToFit="1" readingOrder="2"/>
    </xf>
    <xf numFmtId="165" fontId="32" fillId="7" borderId="20" xfId="14" applyNumberFormat="1" applyFont="1" applyFill="1" applyBorder="1" applyAlignment="1" applyProtection="1">
      <alignment horizontal="right" vertical="center" shrinkToFit="1" readingOrder="2"/>
    </xf>
    <xf numFmtId="37" fontId="103" fillId="6" borderId="9" xfId="14" applyNumberFormat="1" applyFont="1" applyFill="1" applyBorder="1" applyAlignment="1" applyProtection="1">
      <alignment horizontal="right" vertical="center" readingOrder="2"/>
    </xf>
    <xf numFmtId="0" fontId="34" fillId="6" borderId="37" xfId="14" applyFont="1" applyFill="1" applyBorder="1" applyAlignment="1" applyProtection="1">
      <alignment horizontal="right" vertical="center" readingOrder="2"/>
    </xf>
    <xf numFmtId="37" fontId="34" fillId="3" borderId="0" xfId="16" quotePrefix="1" applyFont="1" applyFill="1" applyAlignment="1" applyProtection="1">
      <alignment horizontal="right" vertical="center" readingOrder="2"/>
    </xf>
    <xf numFmtId="37" fontId="32" fillId="3" borderId="0" xfId="14" applyNumberFormat="1" applyFont="1" applyFill="1" applyAlignment="1" applyProtection="1">
      <alignment horizontal="right" vertical="center" readingOrder="2"/>
    </xf>
    <xf numFmtId="37" fontId="67" fillId="5" borderId="6" xfId="14" applyNumberFormat="1" applyFont="1" applyFill="1" applyBorder="1" applyAlignment="1" applyProtection="1">
      <alignment horizontal="right" vertical="center" readingOrder="2"/>
    </xf>
    <xf numFmtId="1" fontId="67" fillId="5" borderId="6" xfId="14" quotePrefix="1" applyNumberFormat="1" applyFont="1" applyFill="1" applyBorder="1" applyAlignment="1" applyProtection="1">
      <alignment horizontal="right" vertical="center" readingOrder="2"/>
    </xf>
    <xf numFmtId="1" fontId="67" fillId="5" borderId="7" xfId="14" quotePrefix="1" applyNumberFormat="1" applyFont="1" applyFill="1" applyBorder="1" applyAlignment="1" applyProtection="1">
      <alignment horizontal="right" vertical="center" readingOrder="2"/>
    </xf>
    <xf numFmtId="1" fontId="38" fillId="3" borderId="0" xfId="14" applyNumberFormat="1" applyFont="1" applyFill="1" applyBorder="1" applyAlignment="1" applyProtection="1">
      <alignment horizontal="right" vertical="center" readingOrder="2"/>
    </xf>
    <xf numFmtId="0" fontId="89" fillId="3" borderId="0" xfId="14" quotePrefix="1" applyFont="1" applyFill="1" applyAlignment="1" applyProtection="1">
      <alignment horizontal="right" vertical="center" readingOrder="2"/>
    </xf>
    <xf numFmtId="0" fontId="90" fillId="3" borderId="0" xfId="14" quotePrefix="1" applyFont="1" applyFill="1" applyAlignment="1" applyProtection="1">
      <alignment horizontal="right" vertical="center" readingOrder="2"/>
    </xf>
    <xf numFmtId="0" fontId="56" fillId="3" borderId="0" xfId="14" applyFont="1" applyFill="1" applyAlignment="1" applyProtection="1">
      <alignment horizontal="right" vertical="center" readingOrder="2"/>
    </xf>
    <xf numFmtId="0" fontId="60" fillId="3" borderId="0" xfId="14" applyFont="1" applyFill="1" applyAlignment="1" applyProtection="1">
      <alignment horizontal="right" vertical="center" readingOrder="2"/>
    </xf>
    <xf numFmtId="0" fontId="104" fillId="5" borderId="5" xfId="14" applyFont="1" applyFill="1" applyBorder="1" applyAlignment="1" applyProtection="1">
      <alignment horizontal="right" vertical="center" readingOrder="2"/>
    </xf>
    <xf numFmtId="0" fontId="67" fillId="5" borderId="6" xfId="14" quotePrefix="1" applyFont="1" applyFill="1" applyBorder="1" applyAlignment="1" applyProtection="1">
      <alignment horizontal="right" vertical="center" readingOrder="2"/>
    </xf>
    <xf numFmtId="0" fontId="67" fillId="5" borderId="7" xfId="14" quotePrefix="1" applyFont="1" applyFill="1" applyBorder="1" applyAlignment="1" applyProtection="1">
      <alignment horizontal="right" vertical="center" readingOrder="2"/>
    </xf>
    <xf numFmtId="0" fontId="67" fillId="5" borderId="8" xfId="14" applyFont="1" applyFill="1" applyBorder="1" applyAlignment="1" applyProtection="1">
      <alignment horizontal="right" vertical="center" readingOrder="2"/>
    </xf>
    <xf numFmtId="0" fontId="67" fillId="5" borderId="0" xfId="14" quotePrefix="1" applyNumberFormat="1" applyFont="1" applyFill="1" applyBorder="1" applyAlignment="1" applyProtection="1">
      <alignment horizontal="right" vertical="center" readingOrder="2"/>
    </xf>
    <xf numFmtId="0" fontId="67" fillId="5" borderId="9" xfId="14" quotePrefix="1" applyNumberFormat="1" applyFont="1" applyFill="1" applyBorder="1" applyAlignment="1" applyProtection="1">
      <alignment horizontal="right" vertical="center" readingOrder="2"/>
    </xf>
    <xf numFmtId="165" fontId="32" fillId="7" borderId="68" xfId="14" applyNumberFormat="1" applyFont="1" applyFill="1" applyBorder="1" applyAlignment="1" applyProtection="1">
      <alignment horizontal="right" vertical="center" shrinkToFit="1" readingOrder="2"/>
    </xf>
    <xf numFmtId="165" fontId="32" fillId="7" borderId="101" xfId="14" applyNumberFormat="1" applyFont="1" applyFill="1" applyBorder="1" applyAlignment="1" applyProtection="1">
      <alignment horizontal="right" vertical="center" shrinkToFit="1" readingOrder="2"/>
    </xf>
    <xf numFmtId="41" fontId="34" fillId="6" borderId="8" xfId="14" applyNumberFormat="1" applyFont="1" applyFill="1" applyBorder="1" applyAlignment="1" applyProtection="1">
      <alignment horizontal="right" vertical="center" readingOrder="2"/>
    </xf>
    <xf numFmtId="41" fontId="34" fillId="6" borderId="0" xfId="14" applyNumberFormat="1" applyFont="1" applyFill="1" applyBorder="1" applyAlignment="1" applyProtection="1">
      <alignment horizontal="right" vertical="center" readingOrder="2"/>
    </xf>
    <xf numFmtId="37" fontId="34" fillId="2" borderId="2" xfId="14" applyNumberFormat="1" applyFont="1" applyFill="1" applyBorder="1" applyAlignment="1" applyProtection="1">
      <alignment horizontal="right" vertical="center" readingOrder="2"/>
    </xf>
    <xf numFmtId="165" fontId="32" fillId="7" borderId="83" xfId="14" applyNumberFormat="1" applyFont="1" applyFill="1" applyBorder="1" applyAlignment="1" applyProtection="1">
      <alignment horizontal="right" vertical="center" shrinkToFit="1" readingOrder="2"/>
    </xf>
    <xf numFmtId="165" fontId="32" fillId="7" borderId="154" xfId="14" applyNumberFormat="1" applyFont="1" applyFill="1" applyBorder="1" applyAlignment="1" applyProtection="1">
      <alignment horizontal="right" vertical="center" shrinkToFit="1" readingOrder="2"/>
    </xf>
    <xf numFmtId="165" fontId="40" fillId="6" borderId="0" xfId="14" applyNumberFormat="1" applyFont="1" applyFill="1" applyBorder="1" applyAlignment="1" applyProtection="1">
      <alignment horizontal="right" vertical="center" shrinkToFit="1" readingOrder="2"/>
    </xf>
    <xf numFmtId="165" fontId="40" fillId="6" borderId="9" xfId="14" applyNumberFormat="1" applyFont="1" applyFill="1" applyBorder="1" applyAlignment="1" applyProtection="1">
      <alignment horizontal="right" vertical="center" shrinkToFit="1" readingOrder="2"/>
    </xf>
    <xf numFmtId="165" fontId="34" fillId="6" borderId="0" xfId="14" applyNumberFormat="1" applyFont="1" applyFill="1" applyBorder="1" applyAlignment="1" applyProtection="1">
      <alignment horizontal="right" vertical="center" shrinkToFit="1" readingOrder="2"/>
    </xf>
    <xf numFmtId="165" fontId="34" fillId="6" borderId="9" xfId="14" applyNumberFormat="1" applyFont="1" applyFill="1" applyBorder="1" applyAlignment="1" applyProtection="1">
      <alignment horizontal="right" vertical="center" shrinkToFit="1" readingOrder="2"/>
    </xf>
    <xf numFmtId="165" fontId="35" fillId="7" borderId="157" xfId="14" applyNumberFormat="1" applyFont="1" applyFill="1" applyBorder="1" applyAlignment="1" applyProtection="1">
      <alignment horizontal="right" vertical="center" shrinkToFit="1" readingOrder="2"/>
    </xf>
    <xf numFmtId="165" fontId="35" fillId="7" borderId="159" xfId="14" applyNumberFormat="1" applyFont="1" applyFill="1" applyBorder="1" applyAlignment="1" applyProtection="1">
      <alignment horizontal="right" vertical="center" shrinkToFit="1" readingOrder="2"/>
    </xf>
    <xf numFmtId="165" fontId="40" fillId="7" borderId="157" xfId="14" applyNumberFormat="1" applyFont="1" applyFill="1" applyBorder="1" applyAlignment="1" applyProtection="1">
      <alignment horizontal="right" vertical="center" shrinkToFit="1" readingOrder="2"/>
    </xf>
    <xf numFmtId="165" fontId="40" fillId="7" borderId="159" xfId="14" applyNumberFormat="1" applyFont="1" applyFill="1" applyBorder="1" applyAlignment="1" applyProtection="1">
      <alignment horizontal="right" vertical="center" shrinkToFit="1" readingOrder="2"/>
    </xf>
    <xf numFmtId="37" fontId="40" fillId="6" borderId="3" xfId="14" quotePrefix="1" applyNumberFormat="1" applyFont="1" applyFill="1" applyBorder="1" applyAlignment="1" applyProtection="1">
      <alignment horizontal="right" vertical="center" readingOrder="2"/>
    </xf>
    <xf numFmtId="37" fontId="40" fillId="6" borderId="21" xfId="14" quotePrefix="1" applyNumberFormat="1" applyFont="1" applyFill="1" applyBorder="1" applyAlignment="1" applyProtection="1">
      <alignment horizontal="right" vertical="center" readingOrder="2"/>
    </xf>
    <xf numFmtId="0" fontId="67" fillId="3" borderId="88" xfId="14" quotePrefix="1" applyFont="1" applyFill="1" applyBorder="1" applyAlignment="1" applyProtection="1">
      <alignment horizontal="right" vertical="center" readingOrder="2"/>
    </xf>
    <xf numFmtId="0" fontId="67" fillId="5" borderId="6" xfId="14" applyFont="1" applyFill="1" applyBorder="1" applyAlignment="1" applyProtection="1">
      <alignment horizontal="right" vertical="center" readingOrder="2"/>
    </xf>
    <xf numFmtId="165" fontId="32" fillId="7" borderId="127" xfId="14" applyNumberFormat="1" applyFont="1" applyFill="1" applyBorder="1" applyAlignment="1" applyProtection="1">
      <alignment horizontal="right" vertical="center" shrinkToFit="1" readingOrder="2"/>
    </xf>
    <xf numFmtId="0" fontId="4" fillId="3" borderId="88" xfId="14" applyFill="1" applyBorder="1" applyAlignment="1" applyProtection="1">
      <alignment horizontal="right" vertical="center" readingOrder="2"/>
    </xf>
    <xf numFmtId="165" fontId="32" fillId="7" borderId="152" xfId="14" applyNumberFormat="1" applyFont="1" applyFill="1" applyBorder="1" applyAlignment="1" applyProtection="1">
      <alignment horizontal="right" vertical="center" shrinkToFit="1" readingOrder="2"/>
    </xf>
    <xf numFmtId="165" fontId="32" fillId="7" borderId="128" xfId="14" applyNumberFormat="1" applyFont="1" applyFill="1" applyBorder="1" applyAlignment="1" applyProtection="1">
      <alignment horizontal="right" vertical="center" shrinkToFit="1" readingOrder="2"/>
    </xf>
    <xf numFmtId="165" fontId="32" fillId="7" borderId="72" xfId="14" applyNumberFormat="1" applyFont="1" applyFill="1" applyBorder="1" applyAlignment="1" applyProtection="1">
      <alignment horizontal="right" vertical="center" shrinkToFit="1" readingOrder="2"/>
    </xf>
    <xf numFmtId="165" fontId="32" fillId="7" borderId="91" xfId="14" applyNumberFormat="1" applyFont="1" applyFill="1" applyBorder="1" applyAlignment="1" applyProtection="1">
      <alignment horizontal="right" vertical="center" shrinkToFit="1" readingOrder="2"/>
    </xf>
    <xf numFmtId="165" fontId="32" fillId="7" borderId="102" xfId="14" applyNumberFormat="1" applyFont="1" applyFill="1" applyBorder="1" applyAlignment="1" applyProtection="1">
      <alignment horizontal="right" vertical="center" shrinkToFit="1" readingOrder="2"/>
    </xf>
    <xf numFmtId="165" fontId="35" fillId="9" borderId="160" xfId="14" applyNumberFormat="1" applyFont="1" applyFill="1" applyBorder="1" applyAlignment="1" applyProtection="1">
      <alignment horizontal="right" vertical="center" shrinkToFit="1" readingOrder="2"/>
    </xf>
    <xf numFmtId="165" fontId="35" fillId="9" borderId="161" xfId="14" applyNumberFormat="1" applyFont="1" applyFill="1" applyBorder="1" applyAlignment="1" applyProtection="1">
      <alignment horizontal="right" vertical="center" shrinkToFit="1" readingOrder="2"/>
    </xf>
    <xf numFmtId="37" fontId="32" fillId="6" borderId="0" xfId="14" applyNumberFormat="1" applyFont="1" applyFill="1" applyBorder="1" applyAlignment="1" applyProtection="1">
      <alignment horizontal="right" vertical="center" readingOrder="2"/>
    </xf>
    <xf numFmtId="165" fontId="89" fillId="9" borderId="162" xfId="14" applyNumberFormat="1" applyFont="1" applyFill="1" applyBorder="1" applyAlignment="1" applyProtection="1">
      <alignment horizontal="right" vertical="center" shrinkToFit="1" readingOrder="2"/>
    </xf>
    <xf numFmtId="165" fontId="105" fillId="7" borderId="102" xfId="14" applyNumberFormat="1" applyFont="1" applyFill="1" applyBorder="1" applyAlignment="1" applyProtection="1">
      <alignment horizontal="right" vertical="center" shrinkToFit="1" readingOrder="2"/>
    </xf>
    <xf numFmtId="165" fontId="32" fillId="7" borderId="74" xfId="14" applyNumberFormat="1" applyFont="1" applyFill="1" applyBorder="1" applyAlignment="1" applyProtection="1">
      <alignment horizontal="right" vertical="center" shrinkToFit="1" readingOrder="2"/>
    </xf>
    <xf numFmtId="165" fontId="32" fillId="7" borderId="76" xfId="14" applyNumberFormat="1" applyFont="1" applyFill="1" applyBorder="1" applyAlignment="1" applyProtection="1">
      <alignment horizontal="right" vertical="center" shrinkToFit="1" readingOrder="2"/>
    </xf>
    <xf numFmtId="165" fontId="34" fillId="6" borderId="0" xfId="14" quotePrefix="1" applyNumberFormat="1" applyFont="1" applyFill="1" applyBorder="1" applyAlignment="1" applyProtection="1">
      <alignment horizontal="right" vertical="center" shrinkToFit="1" readingOrder="2"/>
    </xf>
    <xf numFmtId="165" fontId="34" fillId="6" borderId="9" xfId="14" quotePrefix="1" applyNumberFormat="1" applyFont="1" applyFill="1" applyBorder="1" applyAlignment="1" applyProtection="1">
      <alignment horizontal="right" vertical="center" shrinkToFit="1" readingOrder="2"/>
    </xf>
    <xf numFmtId="9" fontId="34" fillId="7" borderId="68" xfId="14" applyNumberFormat="1" applyFont="1" applyFill="1" applyBorder="1" applyAlignment="1" applyProtection="1">
      <alignment horizontal="right" vertical="center" shrinkToFit="1" readingOrder="2"/>
    </xf>
    <xf numFmtId="9" fontId="34" fillId="7" borderId="127" xfId="14" applyNumberFormat="1" applyFont="1" applyFill="1" applyBorder="1" applyAlignment="1" applyProtection="1">
      <alignment horizontal="right" vertical="center" shrinkToFit="1" readingOrder="2"/>
    </xf>
    <xf numFmtId="9" fontId="34" fillId="7" borderId="101" xfId="14" applyNumberFormat="1" applyFont="1" applyFill="1" applyBorder="1" applyAlignment="1" applyProtection="1">
      <alignment horizontal="right" vertical="center" shrinkToFit="1" readingOrder="2"/>
    </xf>
    <xf numFmtId="9" fontId="34" fillId="7" borderId="72" xfId="14" applyNumberFormat="1" applyFont="1" applyFill="1" applyBorder="1" applyAlignment="1" applyProtection="1">
      <alignment horizontal="right" vertical="center" shrinkToFit="1" readingOrder="2"/>
    </xf>
    <xf numFmtId="9" fontId="34" fillId="7" borderId="91" xfId="14" applyNumberFormat="1" applyFont="1" applyFill="1" applyBorder="1" applyAlignment="1" applyProtection="1">
      <alignment horizontal="right" vertical="center" shrinkToFit="1" readingOrder="2"/>
    </xf>
    <xf numFmtId="9" fontId="34" fillId="7" borderId="102" xfId="14" applyNumberFormat="1" applyFont="1" applyFill="1" applyBorder="1" applyAlignment="1" applyProtection="1">
      <alignment horizontal="right" vertical="center" shrinkToFit="1" readingOrder="2"/>
    </xf>
    <xf numFmtId="37" fontId="34" fillId="3" borderId="88" xfId="14" applyNumberFormat="1" applyFont="1" applyFill="1" applyBorder="1" applyAlignment="1" applyProtection="1">
      <alignment horizontal="right" vertical="center" readingOrder="2"/>
    </xf>
    <xf numFmtId="0" fontId="34" fillId="5" borderId="86" xfId="14" applyFont="1" applyFill="1" applyBorder="1" applyAlignment="1" applyProtection="1">
      <alignment horizontal="right" vertical="center" readingOrder="2"/>
    </xf>
    <xf numFmtId="0" fontId="67" fillId="5" borderId="134" xfId="14" applyNumberFormat="1" applyFont="1" applyFill="1" applyBorder="1" applyAlignment="1" applyProtection="1">
      <alignment horizontal="center" vertical="center" readingOrder="2"/>
    </xf>
    <xf numFmtId="37" fontId="34" fillId="5" borderId="135" xfId="14" applyNumberFormat="1" applyFont="1" applyFill="1" applyBorder="1" applyAlignment="1" applyProtection="1">
      <alignment horizontal="right" vertical="center" readingOrder="2"/>
    </xf>
    <xf numFmtId="37" fontId="34" fillId="5" borderId="38" xfId="14" applyNumberFormat="1" applyFont="1" applyFill="1" applyBorder="1" applyAlignment="1" applyProtection="1">
      <alignment horizontal="right" vertical="center" readingOrder="2"/>
    </xf>
    <xf numFmtId="37" fontId="67" fillId="5" borderId="138" xfId="14" applyNumberFormat="1" applyFont="1" applyFill="1" applyBorder="1" applyAlignment="1" applyProtection="1">
      <alignment horizontal="center" vertical="center" readingOrder="2"/>
    </xf>
    <xf numFmtId="0" fontId="67" fillId="3" borderId="0" xfId="14" applyFont="1" applyFill="1" applyAlignment="1" applyProtection="1">
      <alignment horizontal="right" vertical="center" readingOrder="2"/>
    </xf>
    <xf numFmtId="0" fontId="67" fillId="5" borderId="37" xfId="14" applyFont="1" applyFill="1" applyBorder="1" applyAlignment="1" applyProtection="1">
      <alignment horizontal="right" vertical="center" readingOrder="2"/>
    </xf>
    <xf numFmtId="0" fontId="67" fillId="5" borderId="163" xfId="14" quotePrefix="1" applyFont="1" applyFill="1" applyBorder="1" applyAlignment="1" applyProtection="1">
      <alignment horizontal="center" vertical="center" readingOrder="2"/>
    </xf>
    <xf numFmtId="0" fontId="67" fillId="5" borderId="164" xfId="14" quotePrefix="1" applyFont="1" applyFill="1" applyBorder="1" applyAlignment="1" applyProtection="1">
      <alignment horizontal="center" vertical="center" readingOrder="2"/>
    </xf>
    <xf numFmtId="1" fontId="67" fillId="5" borderId="3" xfId="14" applyNumberFormat="1" applyFont="1" applyFill="1" applyBorder="1" applyAlignment="1" applyProtection="1">
      <alignment horizontal="center" vertical="center" readingOrder="2"/>
    </xf>
    <xf numFmtId="1" fontId="67" fillId="5" borderId="21" xfId="14" applyNumberFormat="1" applyFont="1" applyFill="1" applyBorder="1" applyAlignment="1" applyProtection="1">
      <alignment horizontal="center" vertical="center" readingOrder="2"/>
    </xf>
    <xf numFmtId="4" fontId="32" fillId="7" borderId="155" xfId="14" applyNumberFormat="1" applyFont="1" applyFill="1" applyBorder="1" applyAlignment="1" applyProtection="1">
      <alignment horizontal="right" vertical="center" shrinkToFit="1" readingOrder="2"/>
    </xf>
    <xf numFmtId="4" fontId="34" fillId="7" borderId="151" xfId="14" applyNumberFormat="1" applyFont="1" applyFill="1" applyBorder="1" applyAlignment="1" applyProtection="1">
      <alignment horizontal="right" vertical="center" shrinkToFit="1" readingOrder="2"/>
    </xf>
    <xf numFmtId="4" fontId="34" fillId="7" borderId="152" xfId="14" applyNumberFormat="1" applyFont="1" applyFill="1" applyBorder="1" applyAlignment="1" applyProtection="1">
      <alignment horizontal="right" vertical="center" shrinkToFit="1" readingOrder="2"/>
    </xf>
    <xf numFmtId="4" fontId="32" fillId="7" borderId="70" xfId="14" applyNumberFormat="1" applyFont="1" applyFill="1" applyBorder="1" applyAlignment="1" applyProtection="1">
      <alignment horizontal="right" vertical="center" shrinkToFit="1" readingOrder="2"/>
    </xf>
    <xf numFmtId="4" fontId="34" fillId="7" borderId="71" xfId="14" applyNumberFormat="1" applyFont="1" applyFill="1" applyBorder="1" applyAlignment="1" applyProtection="1">
      <alignment horizontal="right" vertical="center" shrinkToFit="1" readingOrder="2"/>
    </xf>
    <xf numFmtId="4" fontId="34" fillId="7" borderId="83" xfId="14" applyNumberFormat="1" applyFont="1" applyFill="1" applyBorder="1" applyAlignment="1" applyProtection="1">
      <alignment horizontal="right" vertical="center" shrinkToFit="1" readingOrder="2"/>
    </xf>
    <xf numFmtId="4" fontId="32" fillId="7" borderId="72" xfId="14" applyNumberFormat="1" applyFont="1" applyFill="1" applyBorder="1" applyAlignment="1" applyProtection="1">
      <alignment horizontal="right" vertical="center" shrinkToFit="1" readingOrder="2"/>
    </xf>
    <xf numFmtId="165" fontId="32" fillId="7" borderId="73" xfId="14" applyNumberFormat="1" applyFont="1" applyFill="1" applyBorder="1" applyAlignment="1" applyProtection="1">
      <alignment horizontal="right" vertical="center" shrinkToFit="1" readingOrder="2"/>
    </xf>
    <xf numFmtId="4" fontId="34" fillId="7" borderId="73" xfId="14" applyNumberFormat="1" applyFont="1" applyFill="1" applyBorder="1" applyAlignment="1" applyProtection="1">
      <alignment horizontal="right" vertical="center" shrinkToFit="1" readingOrder="2"/>
    </xf>
    <xf numFmtId="4" fontId="34" fillId="7" borderId="102" xfId="14" applyNumberFormat="1" applyFont="1" applyFill="1" applyBorder="1" applyAlignment="1" applyProtection="1">
      <alignment horizontal="right" vertical="center" shrinkToFit="1" readingOrder="2"/>
    </xf>
    <xf numFmtId="4" fontId="35" fillId="9" borderId="74" xfId="14" applyNumberFormat="1" applyFont="1" applyFill="1" applyBorder="1" applyAlignment="1" applyProtection="1">
      <alignment horizontal="right" vertical="center" shrinkToFit="1" readingOrder="2"/>
    </xf>
    <xf numFmtId="4" fontId="35" fillId="9" borderId="75" xfId="14" applyNumberFormat="1" applyFont="1" applyFill="1" applyBorder="1" applyAlignment="1" applyProtection="1">
      <alignment horizontal="right" vertical="center" shrinkToFit="1" readingOrder="2"/>
    </xf>
    <xf numFmtId="4" fontId="35" fillId="9" borderId="76" xfId="14" applyNumberFormat="1" applyFont="1" applyFill="1" applyBorder="1" applyAlignment="1" applyProtection="1">
      <alignment horizontal="right" vertical="center" shrinkToFit="1" readingOrder="2"/>
    </xf>
    <xf numFmtId="1" fontId="35" fillId="3" borderId="0" xfId="14" applyNumberFormat="1" applyFont="1" applyFill="1" applyBorder="1" applyAlignment="1" applyProtection="1">
      <alignment horizontal="right" vertical="center" readingOrder="2"/>
    </xf>
    <xf numFmtId="37" fontId="34" fillId="3" borderId="147" xfId="14" applyNumberFormat="1" applyFont="1" applyFill="1" applyBorder="1" applyAlignment="1" applyProtection="1">
      <alignment horizontal="right" vertical="center" readingOrder="2"/>
    </xf>
    <xf numFmtId="37" fontId="34" fillId="2" borderId="0" xfId="14" applyNumberFormat="1" applyFont="1" applyFill="1" applyBorder="1" applyAlignment="1" applyProtection="1">
      <alignment horizontal="right" vertical="center" readingOrder="2"/>
    </xf>
    <xf numFmtId="37" fontId="34" fillId="2" borderId="25" xfId="14" applyNumberFormat="1" applyFont="1" applyFill="1" applyBorder="1" applyAlignment="1" applyProtection="1">
      <alignment horizontal="right" vertical="center" readingOrder="2"/>
    </xf>
    <xf numFmtId="37" fontId="34" fillId="2" borderId="0" xfId="14" applyNumberFormat="1" applyFont="1" applyFill="1" applyAlignment="1" applyProtection="1">
      <alignment horizontal="right" vertical="center" readingOrder="2"/>
    </xf>
    <xf numFmtId="37" fontId="60" fillId="2" borderId="0" xfId="14" applyNumberFormat="1" applyFont="1" applyFill="1" applyAlignment="1" applyProtection="1">
      <alignment horizontal="right" vertical="center" readingOrder="2"/>
    </xf>
    <xf numFmtId="37" fontId="4" fillId="2" borderId="0" xfId="14" applyNumberFormat="1" applyFill="1" applyAlignment="1" applyProtection="1">
      <alignment horizontal="right" vertical="center" readingOrder="2"/>
    </xf>
    <xf numFmtId="37" fontId="4" fillId="2" borderId="0" xfId="14" applyNumberFormat="1" applyFill="1" applyBorder="1" applyAlignment="1" applyProtection="1">
      <alignment horizontal="right" vertical="center" readingOrder="2"/>
    </xf>
    <xf numFmtId="0" fontId="32" fillId="2" borderId="0" xfId="14" quotePrefix="1" applyFont="1" applyFill="1" applyAlignment="1" applyProtection="1">
      <alignment horizontal="right" vertical="center" readingOrder="2"/>
    </xf>
    <xf numFmtId="37" fontId="51" fillId="2" borderId="0" xfId="16" applyFont="1" applyFill="1" applyAlignment="1" applyProtection="1">
      <alignment horizontal="right" vertical="center" readingOrder="2"/>
    </xf>
    <xf numFmtId="37" fontId="32" fillId="2" borderId="39" xfId="16" applyFont="1" applyFill="1" applyBorder="1" applyAlignment="1" applyProtection="1">
      <alignment horizontal="right" vertical="center" readingOrder="2"/>
    </xf>
    <xf numFmtId="0" fontId="32" fillId="2" borderId="39" xfId="14" applyFont="1" applyFill="1" applyBorder="1" applyAlignment="1" applyProtection="1">
      <alignment horizontal="right" vertical="center" readingOrder="2"/>
    </xf>
    <xf numFmtId="0" fontId="32" fillId="2" borderId="42" xfId="16" applyNumberFormat="1" applyFont="1" applyFill="1" applyBorder="1" applyAlignment="1" applyProtection="1">
      <alignment horizontal="right" vertical="center" readingOrder="2"/>
    </xf>
    <xf numFmtId="165" fontId="32" fillId="2" borderId="43" xfId="14" applyNumberFormat="1" applyFont="1" applyFill="1" applyBorder="1" applyAlignment="1" applyProtection="1">
      <alignment horizontal="right" vertical="center" shrinkToFit="1" readingOrder="2"/>
    </xf>
    <xf numFmtId="37" fontId="32" fillId="2" borderId="29" xfId="16" applyFont="1" applyFill="1" applyBorder="1" applyAlignment="1" applyProtection="1">
      <alignment horizontal="right" vertical="center" readingOrder="2"/>
    </xf>
    <xf numFmtId="37" fontId="32" fillId="2" borderId="0" xfId="16" applyFont="1" applyFill="1" applyBorder="1" applyAlignment="1" applyProtection="1">
      <alignment horizontal="right" vertical="center" readingOrder="2"/>
    </xf>
    <xf numFmtId="0" fontId="32" fillId="2" borderId="29" xfId="16" applyNumberFormat="1" applyFont="1" applyFill="1" applyBorder="1" applyAlignment="1" applyProtection="1">
      <alignment horizontal="right" vertical="center" readingOrder="2"/>
    </xf>
    <xf numFmtId="0" fontId="32" fillId="2" borderId="48" xfId="14" applyNumberFormat="1" applyFont="1" applyFill="1" applyBorder="1" applyAlignment="1" applyProtection="1">
      <alignment horizontal="right" vertical="center" shrinkToFit="1" readingOrder="2"/>
    </xf>
    <xf numFmtId="37" fontId="32" fillId="2" borderId="0" xfId="16" applyFont="1" applyFill="1" applyBorder="1" applyAlignment="1" applyProtection="1">
      <alignment horizontal="right" vertical="center" shrinkToFit="1" readingOrder="2"/>
    </xf>
    <xf numFmtId="37" fontId="32" fillId="2" borderId="48" xfId="16" applyFont="1" applyFill="1" applyBorder="1" applyAlignment="1" applyProtection="1">
      <alignment horizontal="right" vertical="center" shrinkToFit="1" readingOrder="2"/>
    </xf>
    <xf numFmtId="165" fontId="35" fillId="2" borderId="150" xfId="14" applyNumberFormat="1" applyFont="1" applyFill="1" applyBorder="1" applyAlignment="1" applyProtection="1">
      <alignment horizontal="right" vertical="center" shrinkToFit="1" readingOrder="2"/>
    </xf>
    <xf numFmtId="37" fontId="32" fillId="2" borderId="29" xfId="14" applyNumberFormat="1" applyFont="1" applyFill="1" applyBorder="1" applyAlignment="1" applyProtection="1">
      <alignment horizontal="right" vertical="center" readingOrder="2"/>
    </xf>
    <xf numFmtId="37" fontId="32" fillId="2" borderId="0" xfId="14" applyNumberFormat="1" applyFont="1" applyFill="1" applyBorder="1" applyAlignment="1" applyProtection="1">
      <alignment horizontal="right" vertical="center" readingOrder="2"/>
    </xf>
    <xf numFmtId="37" fontId="32" fillId="2" borderId="45" xfId="16" applyFont="1" applyFill="1" applyBorder="1" applyAlignment="1" applyProtection="1">
      <alignment horizontal="right" vertical="center" readingOrder="2"/>
    </xf>
    <xf numFmtId="37" fontId="32" fillId="2" borderId="24" xfId="14" quotePrefix="1" applyNumberFormat="1" applyFont="1" applyFill="1" applyBorder="1" applyAlignment="1" applyProtection="1">
      <alignment horizontal="right" vertical="center" readingOrder="2"/>
    </xf>
    <xf numFmtId="37" fontId="32" fillId="2" borderId="47" xfId="14" quotePrefix="1" applyNumberFormat="1" applyFont="1" applyFill="1" applyBorder="1" applyAlignment="1" applyProtection="1">
      <alignment horizontal="right" vertical="center" readingOrder="2"/>
    </xf>
    <xf numFmtId="37" fontId="32" fillId="2" borderId="45" xfId="14" applyNumberFormat="1" applyFont="1" applyFill="1" applyBorder="1" applyAlignment="1" applyProtection="1">
      <alignment horizontal="right" vertical="center" readingOrder="2"/>
    </xf>
    <xf numFmtId="37" fontId="32" fillId="2" borderId="24" xfId="14" applyNumberFormat="1" applyFont="1" applyFill="1" applyBorder="1" applyAlignment="1" applyProtection="1">
      <alignment horizontal="right" vertical="center" readingOrder="2"/>
    </xf>
    <xf numFmtId="37" fontId="32" fillId="2" borderId="47" xfId="14" applyNumberFormat="1" applyFont="1" applyFill="1" applyBorder="1" applyAlignment="1" applyProtection="1">
      <alignment horizontal="right" vertical="center" readingOrder="2"/>
    </xf>
    <xf numFmtId="16" fontId="32" fillId="2" borderId="0" xfId="14" quotePrefix="1" applyNumberFormat="1" applyFont="1" applyFill="1" applyAlignment="1" applyProtection="1">
      <alignment horizontal="right" vertical="center" readingOrder="2"/>
    </xf>
    <xf numFmtId="37" fontId="32" fillId="2" borderId="42" xfId="16" applyFont="1" applyFill="1" applyBorder="1" applyAlignment="1" applyProtection="1">
      <alignment horizontal="right" vertical="center" readingOrder="2"/>
    </xf>
    <xf numFmtId="37" fontId="32" fillId="2" borderId="67" xfId="14" applyNumberFormat="1" applyFont="1" applyFill="1" applyBorder="1" applyAlignment="1" applyProtection="1">
      <alignment horizontal="right" vertical="center" readingOrder="2"/>
    </xf>
    <xf numFmtId="186" fontId="32" fillId="2" borderId="0" xfId="14" applyNumberFormat="1" applyFont="1" applyFill="1" applyBorder="1" applyAlignment="1" applyProtection="1">
      <alignment horizontal="right" vertical="center" shrinkToFit="1" readingOrder="2"/>
    </xf>
    <xf numFmtId="186" fontId="32" fillId="2" borderId="48" xfId="14" applyNumberFormat="1" applyFont="1" applyFill="1" applyBorder="1" applyAlignment="1" applyProtection="1">
      <alignment horizontal="right" vertical="center" shrinkToFit="1" readingOrder="2"/>
    </xf>
    <xf numFmtId="186" fontId="32" fillId="2" borderId="24" xfId="14" applyNumberFormat="1" applyFont="1" applyFill="1" applyBorder="1" applyAlignment="1" applyProtection="1">
      <alignment horizontal="right" vertical="center" shrinkToFit="1" readingOrder="2"/>
    </xf>
    <xf numFmtId="186" fontId="32" fillId="2" borderId="47" xfId="14" applyNumberFormat="1" applyFont="1" applyFill="1" applyBorder="1" applyAlignment="1" applyProtection="1">
      <alignment horizontal="right" vertical="center" shrinkToFit="1" readingOrder="2"/>
    </xf>
    <xf numFmtId="186" fontId="35" fillId="2" borderId="15" xfId="14" applyNumberFormat="1" applyFont="1" applyFill="1" applyBorder="1" applyAlignment="1" applyProtection="1">
      <alignment horizontal="right" vertical="center" shrinkToFit="1" readingOrder="2"/>
    </xf>
    <xf numFmtId="186" fontId="35" fillId="2" borderId="150" xfId="14" applyNumberFormat="1" applyFont="1" applyFill="1" applyBorder="1" applyAlignment="1" applyProtection="1">
      <alignment horizontal="right" vertical="center" shrinkToFit="1" readingOrder="2"/>
    </xf>
    <xf numFmtId="37" fontId="32" fillId="2" borderId="24" xfId="16" applyFont="1" applyFill="1" applyBorder="1" applyAlignment="1" applyProtection="1">
      <alignment horizontal="right" vertical="center" readingOrder="2"/>
    </xf>
    <xf numFmtId="37" fontId="32" fillId="2" borderId="47" xfId="16" applyFont="1" applyFill="1" applyBorder="1" applyAlignment="1" applyProtection="1">
      <alignment horizontal="right" vertical="center" readingOrder="2"/>
    </xf>
    <xf numFmtId="37" fontId="32" fillId="2" borderId="0" xfId="16" applyFont="1" applyFill="1" applyAlignment="1" applyProtection="1">
      <alignment horizontal="right" vertical="center" readingOrder="2"/>
    </xf>
    <xf numFmtId="37" fontId="22" fillId="2" borderId="0" xfId="14" applyNumberFormat="1" applyFont="1" applyFill="1" applyBorder="1" applyAlignment="1" applyProtection="1">
      <alignment horizontal="right" vertical="center" readingOrder="2"/>
    </xf>
    <xf numFmtId="37" fontId="32" fillId="2" borderId="0" xfId="14" quotePrefix="1" applyNumberFormat="1" applyFont="1" applyFill="1" applyBorder="1" applyAlignment="1" applyProtection="1">
      <alignment horizontal="right" vertical="center" readingOrder="2"/>
    </xf>
    <xf numFmtId="37" fontId="32" fillId="2" borderId="48" xfId="14" quotePrefix="1" applyNumberFormat="1" applyFont="1" applyFill="1" applyBorder="1" applyAlignment="1" applyProtection="1">
      <alignment horizontal="right" vertical="center" readingOrder="2"/>
    </xf>
    <xf numFmtId="37" fontId="32" fillId="2" borderId="0" xfId="14" applyNumberFormat="1" applyFont="1" applyFill="1" applyBorder="1" applyAlignment="1" applyProtection="1">
      <alignment horizontal="right" vertical="center" shrinkToFit="1" readingOrder="2"/>
    </xf>
    <xf numFmtId="37" fontId="106" fillId="2" borderId="48" xfId="14" applyNumberFormat="1" applyFont="1" applyFill="1" applyBorder="1" applyAlignment="1" applyProtection="1">
      <alignment horizontal="right" vertical="center" readingOrder="2"/>
    </xf>
    <xf numFmtId="0" fontId="32" fillId="2" borderId="45" xfId="14" applyFont="1" applyFill="1" applyBorder="1" applyAlignment="1" applyProtection="1">
      <alignment horizontal="right" vertical="center" readingOrder="2"/>
    </xf>
    <xf numFmtId="37" fontId="32" fillId="2" borderId="0" xfId="16" quotePrefix="1" applyFont="1" applyFill="1" applyAlignment="1" applyProtection="1">
      <alignment horizontal="right" vertical="center" readingOrder="2"/>
    </xf>
    <xf numFmtId="37" fontId="32" fillId="2" borderId="0" xfId="14" applyNumberFormat="1" applyFont="1" applyFill="1" applyAlignment="1" applyProtection="1">
      <alignment horizontal="right" vertical="center" readingOrder="2"/>
    </xf>
    <xf numFmtId="165" fontId="35" fillId="2" borderId="20" xfId="14" applyNumberFormat="1" applyFont="1" applyFill="1" applyBorder="1" applyAlignment="1" applyProtection="1">
      <alignment horizontal="right" vertical="center" shrinkToFit="1" readingOrder="2"/>
    </xf>
    <xf numFmtId="1" fontId="38" fillId="2" borderId="0" xfId="14" applyNumberFormat="1" applyFont="1" applyFill="1" applyBorder="1" applyAlignment="1" applyProtection="1">
      <alignment horizontal="right" vertical="center" readingOrder="2"/>
    </xf>
    <xf numFmtId="0" fontId="89" fillId="2" borderId="0" xfId="14" quotePrefix="1" applyFont="1" applyFill="1" applyAlignment="1" applyProtection="1">
      <alignment horizontal="right" vertical="center" readingOrder="2"/>
    </xf>
    <xf numFmtId="0" fontId="90" fillId="2" borderId="0" xfId="14" quotePrefix="1" applyFont="1" applyFill="1" applyAlignment="1" applyProtection="1">
      <alignment horizontal="right" vertical="center" readingOrder="2"/>
    </xf>
    <xf numFmtId="0" fontId="22" fillId="2" borderId="39" xfId="14" applyFont="1" applyFill="1" applyBorder="1" applyAlignment="1" applyProtection="1">
      <alignment horizontal="right" vertical="center" readingOrder="2"/>
    </xf>
    <xf numFmtId="165" fontId="35" fillId="2" borderId="0" xfId="14" applyNumberFormat="1" applyFont="1" applyFill="1" applyBorder="1" applyAlignment="1" applyProtection="1">
      <alignment horizontal="right" vertical="center" shrinkToFit="1" readingOrder="2"/>
    </xf>
    <xf numFmtId="0" fontId="32" fillId="2" borderId="29" xfId="14" applyNumberFormat="1" applyFont="1" applyFill="1" applyBorder="1" applyAlignment="1" applyProtection="1">
      <alignment horizontal="right" vertical="center" readingOrder="2"/>
    </xf>
    <xf numFmtId="165" fontId="35" fillId="2" borderId="165" xfId="14" applyNumberFormat="1" applyFont="1" applyFill="1" applyBorder="1" applyAlignment="1" applyProtection="1">
      <alignment horizontal="right" vertical="center" shrinkToFit="1" readingOrder="2"/>
    </xf>
    <xf numFmtId="37" fontId="35" fillId="2" borderId="24" xfId="14" quotePrefix="1" applyNumberFormat="1" applyFont="1" applyFill="1" applyBorder="1" applyAlignment="1" applyProtection="1">
      <alignment horizontal="right" vertical="center" readingOrder="2"/>
    </xf>
    <xf numFmtId="37" fontId="35" fillId="2" borderId="47" xfId="14" quotePrefix="1" applyNumberFormat="1" applyFont="1" applyFill="1" applyBorder="1" applyAlignment="1" applyProtection="1">
      <alignment horizontal="right" vertical="center" readingOrder="2"/>
    </xf>
    <xf numFmtId="0" fontId="32" fillId="2" borderId="166" xfId="14" quotePrefix="1" applyFont="1" applyFill="1" applyBorder="1" applyAlignment="1" applyProtection="1">
      <alignment horizontal="right" vertical="center" readingOrder="2"/>
    </xf>
    <xf numFmtId="37" fontId="32" fillId="2" borderId="40" xfId="14" applyNumberFormat="1" applyFont="1" applyFill="1" applyBorder="1" applyAlignment="1" applyProtection="1">
      <alignment horizontal="right" vertical="center" readingOrder="2"/>
    </xf>
    <xf numFmtId="0" fontId="32" fillId="2" borderId="42" xfId="14" applyFont="1" applyFill="1" applyBorder="1" applyAlignment="1" applyProtection="1">
      <alignment horizontal="right" vertical="center" readingOrder="2"/>
    </xf>
    <xf numFmtId="165" fontId="91" fillId="2" borderId="166" xfId="14" applyNumberFormat="1" applyFont="1" applyFill="1" applyBorder="1" applyAlignment="1" applyProtection="1">
      <alignment horizontal="right" vertical="center" shrinkToFit="1" readingOrder="2"/>
    </xf>
    <xf numFmtId="165" fontId="32" fillId="2" borderId="166" xfId="14" applyNumberFormat="1" applyFont="1" applyFill="1" applyBorder="1" applyAlignment="1" applyProtection="1">
      <alignment horizontal="right" vertical="center" shrinkToFit="1" readingOrder="2"/>
    </xf>
    <xf numFmtId="165" fontId="32" fillId="2" borderId="0" xfId="14" quotePrefix="1" applyNumberFormat="1" applyFont="1" applyFill="1" applyBorder="1" applyAlignment="1" applyProtection="1">
      <alignment horizontal="right" vertical="center" shrinkToFit="1" readingOrder="2"/>
    </xf>
    <xf numFmtId="165" fontId="32" fillId="2" borderId="166" xfId="14" quotePrefix="1" applyNumberFormat="1" applyFont="1" applyFill="1" applyBorder="1" applyAlignment="1" applyProtection="1">
      <alignment horizontal="right" vertical="center" shrinkToFit="1" readingOrder="2"/>
    </xf>
    <xf numFmtId="165" fontId="32" fillId="2" borderId="48" xfId="14" quotePrefix="1" applyNumberFormat="1" applyFont="1" applyFill="1" applyBorder="1" applyAlignment="1" applyProtection="1">
      <alignment horizontal="right" vertical="center" shrinkToFit="1" readingOrder="2"/>
    </xf>
    <xf numFmtId="0" fontId="51" fillId="2" borderId="29" xfId="14" applyFont="1" applyFill="1" applyBorder="1" applyAlignment="1" applyProtection="1">
      <alignment horizontal="right" vertical="center" readingOrder="2"/>
    </xf>
    <xf numFmtId="9" fontId="32" fillId="2" borderId="0" xfId="14" applyNumberFormat="1" applyFont="1" applyFill="1" applyBorder="1" applyAlignment="1" applyProtection="1">
      <alignment horizontal="right" vertical="center" readingOrder="2"/>
    </xf>
    <xf numFmtId="9" fontId="32" fillId="2" borderId="0" xfId="14" applyNumberFormat="1" applyFont="1" applyFill="1" applyBorder="1" applyAlignment="1" applyProtection="1">
      <alignment horizontal="right" vertical="center" shrinkToFit="1" readingOrder="2"/>
    </xf>
    <xf numFmtId="9" fontId="32" fillId="2" borderId="48" xfId="14" applyNumberFormat="1" applyFont="1" applyFill="1" applyBorder="1" applyAlignment="1" applyProtection="1">
      <alignment horizontal="right" vertical="center" shrinkToFit="1" readingOrder="2"/>
    </xf>
    <xf numFmtId="37" fontId="32" fillId="2" borderId="166" xfId="14" applyNumberFormat="1" applyFont="1" applyFill="1" applyBorder="1" applyAlignment="1" applyProtection="1">
      <alignment horizontal="right" vertical="center" readingOrder="2"/>
    </xf>
    <xf numFmtId="0" fontId="32" fillId="2" borderId="44" xfId="14" applyFont="1" applyFill="1" applyBorder="1" applyAlignment="1" applyProtection="1">
      <alignment horizontal="right" vertical="center" readingOrder="2"/>
    </xf>
    <xf numFmtId="4" fontId="32" fillId="2" borderId="67" xfId="14" applyNumberFormat="1" applyFont="1" applyFill="1" applyBorder="1" applyAlignment="1" applyProtection="1">
      <alignment horizontal="right" vertical="center" shrinkToFit="1" readingOrder="2"/>
    </xf>
    <xf numFmtId="4" fontId="32" fillId="2" borderId="43" xfId="14" applyNumberFormat="1" applyFont="1" applyFill="1" applyBorder="1" applyAlignment="1" applyProtection="1">
      <alignment horizontal="right" vertical="center" shrinkToFit="1" readingOrder="2"/>
    </xf>
    <xf numFmtId="4" fontId="32" fillId="2" borderId="48" xfId="14" applyNumberFormat="1" applyFont="1" applyFill="1" applyBorder="1" applyAlignment="1" applyProtection="1">
      <alignment horizontal="right" vertical="center" shrinkToFit="1" readingOrder="2"/>
    </xf>
    <xf numFmtId="4" fontId="35" fillId="2" borderId="15" xfId="14" applyNumberFormat="1" applyFont="1" applyFill="1" applyBorder="1" applyAlignment="1" applyProtection="1">
      <alignment horizontal="right" vertical="center" shrinkToFit="1" readingOrder="2"/>
    </xf>
    <xf numFmtId="4" fontId="35" fillId="2" borderId="150" xfId="14" applyNumberFormat="1" applyFont="1" applyFill="1" applyBorder="1" applyAlignment="1" applyProtection="1">
      <alignment horizontal="right" vertical="center" shrinkToFit="1" readingOrder="2"/>
    </xf>
    <xf numFmtId="173" fontId="87" fillId="4" borderId="0" xfId="18" applyFont="1" applyFill="1" applyAlignment="1" applyProtection="1">
      <alignment horizontal="right" vertical="center" wrapText="1" readingOrder="2"/>
    </xf>
    <xf numFmtId="173" fontId="87" fillId="4" borderId="0" xfId="18" applyFont="1" applyFill="1" applyAlignment="1" applyProtection="1">
      <alignment horizontal="right" vertical="center" readingOrder="2"/>
    </xf>
    <xf numFmtId="173" fontId="81" fillId="4" borderId="0" xfId="18" applyFont="1" applyFill="1" applyAlignment="1" applyProtection="1">
      <alignment horizontal="right" vertical="center" wrapText="1" readingOrder="2"/>
    </xf>
    <xf numFmtId="173" fontId="107" fillId="4" borderId="0" xfId="18" applyFont="1" applyFill="1" applyAlignment="1" applyProtection="1">
      <alignment horizontal="right" vertical="center" readingOrder="2"/>
    </xf>
    <xf numFmtId="0" fontId="87" fillId="4" borderId="0" xfId="14" applyFont="1" applyFill="1" applyAlignment="1" applyProtection="1">
      <alignment horizontal="right" vertical="center" wrapText="1" readingOrder="2"/>
    </xf>
    <xf numFmtId="0" fontId="35" fillId="3" borderId="0" xfId="14" applyFont="1" applyFill="1" applyBorder="1" applyAlignment="1" applyProtection="1">
      <alignment horizontal="right" vertical="center" wrapText="1" readingOrder="2"/>
    </xf>
    <xf numFmtId="0" fontId="91" fillId="3" borderId="0" xfId="14" applyFont="1" applyFill="1" applyAlignment="1" applyProtection="1">
      <alignment horizontal="right" vertical="center" wrapText="1" readingOrder="2"/>
    </xf>
    <xf numFmtId="0" fontId="91" fillId="3" borderId="0" xfId="14" applyFont="1" applyFill="1" applyAlignment="1" applyProtection="1">
      <alignment horizontal="right" vertical="center" readingOrder="2"/>
    </xf>
    <xf numFmtId="0" fontId="105" fillId="3" borderId="0" xfId="14" applyFont="1" applyFill="1" applyAlignment="1" applyProtection="1">
      <alignment horizontal="right" vertical="center" readingOrder="2"/>
    </xf>
    <xf numFmtId="0" fontId="108" fillId="3" borderId="0" xfId="14" applyFont="1" applyFill="1" applyAlignment="1" applyProtection="1">
      <alignment horizontal="right" vertical="center" readingOrder="2"/>
    </xf>
    <xf numFmtId="0" fontId="37" fillId="5" borderId="8" xfId="14" applyFont="1" applyFill="1" applyBorder="1" applyAlignment="1" applyProtection="1">
      <alignment horizontal="right" vertical="center" wrapText="1" readingOrder="2"/>
    </xf>
    <xf numFmtId="173" fontId="37" fillId="5" borderId="8" xfId="18" applyFont="1" applyFill="1" applyBorder="1" applyAlignment="1" applyProtection="1">
      <alignment horizontal="right" vertical="center" readingOrder="2"/>
    </xf>
    <xf numFmtId="0" fontId="37" fillId="5" borderId="0" xfId="14" quotePrefix="1" applyFont="1" applyFill="1" applyBorder="1" applyAlignment="1" applyProtection="1">
      <alignment horizontal="right" vertical="center" readingOrder="2"/>
    </xf>
    <xf numFmtId="0" fontId="37" fillId="5" borderId="9" xfId="14" quotePrefix="1" applyFont="1" applyFill="1" applyBorder="1" applyAlignment="1" applyProtection="1">
      <alignment horizontal="right" vertical="center" readingOrder="2"/>
    </xf>
    <xf numFmtId="0" fontId="32" fillId="6" borderId="8" xfId="14" applyFont="1" applyFill="1" applyBorder="1" applyAlignment="1" applyProtection="1">
      <alignment horizontal="right" vertical="center" wrapText="1" readingOrder="2"/>
    </xf>
    <xf numFmtId="165" fontId="32" fillId="7" borderId="69" xfId="14" applyNumberFormat="1" applyFont="1" applyFill="1" applyBorder="1" applyAlignment="1" applyProtection="1">
      <alignment horizontal="right" vertical="center" shrinkToFit="1" readingOrder="2"/>
    </xf>
    <xf numFmtId="186" fontId="32" fillId="7" borderId="69" xfId="14" applyNumberFormat="1" applyFont="1" applyFill="1" applyBorder="1" applyAlignment="1" applyProtection="1">
      <alignment horizontal="right" vertical="center" shrinkToFit="1" readingOrder="1"/>
    </xf>
    <xf numFmtId="186" fontId="32" fillId="7" borderId="101" xfId="14" applyNumberFormat="1" applyFont="1" applyFill="1" applyBorder="1" applyAlignment="1" applyProtection="1">
      <alignment horizontal="right" vertical="center" shrinkToFit="1" readingOrder="1"/>
    </xf>
    <xf numFmtId="186" fontId="32" fillId="7" borderId="71" xfId="14" applyNumberFormat="1" applyFont="1" applyFill="1" applyBorder="1" applyAlignment="1" applyProtection="1">
      <alignment horizontal="right" vertical="center" shrinkToFit="1" readingOrder="1"/>
    </xf>
    <xf numFmtId="186" fontId="32" fillId="7" borderId="83" xfId="14" applyNumberFormat="1" applyFont="1" applyFill="1" applyBorder="1" applyAlignment="1" applyProtection="1">
      <alignment horizontal="right" vertical="center" shrinkToFit="1" readingOrder="1"/>
    </xf>
    <xf numFmtId="0" fontId="32" fillId="6" borderId="8" xfId="14" applyFont="1" applyFill="1" applyBorder="1" applyAlignment="1" applyProtection="1">
      <alignment horizontal="right" vertical="center" shrinkToFit="1" readingOrder="2"/>
    </xf>
    <xf numFmtId="186" fontId="32" fillId="7" borderId="153" xfId="14" applyNumberFormat="1" applyFont="1" applyFill="1" applyBorder="1" applyAlignment="1" applyProtection="1">
      <alignment horizontal="right" vertical="center" shrinkToFit="1" readingOrder="1"/>
    </xf>
    <xf numFmtId="186" fontId="32" fillId="7" borderId="154" xfId="14" applyNumberFormat="1" applyFont="1" applyFill="1" applyBorder="1" applyAlignment="1" applyProtection="1">
      <alignment horizontal="right" vertical="center" shrinkToFit="1" readingOrder="1"/>
    </xf>
    <xf numFmtId="0" fontId="35" fillId="6" borderId="8" xfId="14" applyFont="1" applyFill="1" applyBorder="1" applyAlignment="1" applyProtection="1">
      <alignment horizontal="right" vertical="center" wrapText="1" readingOrder="2"/>
    </xf>
    <xf numFmtId="165" fontId="32" fillId="9" borderId="74" xfId="14" applyNumberFormat="1" applyFont="1" applyFill="1" applyBorder="1" applyAlignment="1" applyProtection="1">
      <alignment horizontal="right" vertical="center" shrinkToFit="1" readingOrder="2"/>
    </xf>
    <xf numFmtId="165" fontId="32" fillId="9" borderId="75" xfId="14" applyNumberFormat="1" applyFont="1" applyFill="1" applyBorder="1" applyAlignment="1" applyProtection="1">
      <alignment horizontal="right" vertical="center" shrinkToFit="1" readingOrder="2"/>
    </xf>
    <xf numFmtId="186" fontId="32" fillId="9" borderId="75" xfId="14" applyNumberFormat="1" applyFont="1" applyFill="1" applyBorder="1" applyAlignment="1" applyProtection="1">
      <alignment horizontal="right" vertical="center" shrinkToFit="1" readingOrder="1"/>
    </xf>
    <xf numFmtId="186" fontId="32" fillId="9" borderId="76" xfId="14" applyNumberFormat="1" applyFont="1" applyFill="1" applyBorder="1" applyAlignment="1" applyProtection="1">
      <alignment horizontal="right" vertical="center" shrinkToFit="1" readingOrder="1"/>
    </xf>
    <xf numFmtId="0" fontId="32" fillId="6" borderId="167" xfId="14" applyFont="1" applyFill="1" applyBorder="1" applyAlignment="1" applyProtection="1">
      <alignment horizontal="right" vertical="center" readingOrder="2"/>
    </xf>
    <xf numFmtId="0" fontId="32" fillId="6" borderId="168" xfId="14" applyFont="1" applyFill="1" applyBorder="1" applyAlignment="1" applyProtection="1">
      <alignment horizontal="right" vertical="center" readingOrder="2"/>
    </xf>
    <xf numFmtId="165" fontId="32" fillId="9" borderId="76" xfId="14" applyNumberFormat="1" applyFont="1" applyFill="1" applyBorder="1" applyAlignment="1" applyProtection="1">
      <alignment horizontal="right" vertical="center" shrinkToFit="1" readingOrder="2"/>
    </xf>
    <xf numFmtId="165" fontId="32" fillId="6" borderId="169" xfId="14" applyNumberFormat="1" applyFont="1" applyFill="1" applyBorder="1" applyAlignment="1" applyProtection="1">
      <alignment horizontal="right" vertical="center" shrinkToFit="1" readingOrder="2"/>
    </xf>
    <xf numFmtId="165" fontId="32" fillId="6" borderId="170" xfId="14" applyNumberFormat="1" applyFont="1" applyFill="1" applyBorder="1" applyAlignment="1" applyProtection="1">
      <alignment horizontal="right" vertical="center" shrinkToFit="1" readingOrder="2"/>
    </xf>
    <xf numFmtId="0" fontId="32" fillId="6" borderId="9" xfId="14" applyFont="1" applyFill="1" applyBorder="1" applyAlignment="1" applyProtection="1">
      <alignment horizontal="right" vertical="center" readingOrder="2"/>
    </xf>
    <xf numFmtId="175" fontId="32" fillId="6" borderId="0" xfId="14" applyNumberFormat="1" applyFont="1" applyFill="1" applyBorder="1" applyAlignment="1" applyProtection="1">
      <alignment horizontal="right" vertical="center" readingOrder="2"/>
    </xf>
    <xf numFmtId="175" fontId="32" fillId="6" borderId="9" xfId="14" applyNumberFormat="1" applyFont="1" applyFill="1" applyBorder="1" applyAlignment="1" applyProtection="1">
      <alignment horizontal="right" vertical="center" readingOrder="2"/>
    </xf>
    <xf numFmtId="165" fontId="35" fillId="7" borderId="171" xfId="14" applyNumberFormat="1" applyFont="1" applyFill="1" applyBorder="1" applyAlignment="1" applyProtection="1">
      <alignment horizontal="right" vertical="center" shrinkToFit="1" readingOrder="2"/>
    </xf>
    <xf numFmtId="165" fontId="35" fillId="7" borderId="172" xfId="14" applyNumberFormat="1" applyFont="1" applyFill="1" applyBorder="1" applyAlignment="1" applyProtection="1">
      <alignment horizontal="right" vertical="center" shrinkToFit="1" readingOrder="2"/>
    </xf>
    <xf numFmtId="0" fontId="32" fillId="6" borderId="37" xfId="14" applyFont="1" applyFill="1" applyBorder="1" applyAlignment="1" applyProtection="1">
      <alignment horizontal="right" vertical="center" wrapText="1" readingOrder="2"/>
    </xf>
    <xf numFmtId="175" fontId="32" fillId="6" borderId="3" xfId="14" applyNumberFormat="1" applyFont="1" applyFill="1" applyBorder="1" applyAlignment="1" applyProtection="1">
      <alignment horizontal="right" vertical="center" readingOrder="2"/>
    </xf>
    <xf numFmtId="0" fontId="67" fillId="5" borderId="8" xfId="14" applyFont="1" applyFill="1" applyBorder="1" applyAlignment="1" applyProtection="1">
      <alignment horizontal="right" vertical="center" wrapText="1" readingOrder="2"/>
    </xf>
    <xf numFmtId="186" fontId="32" fillId="7" borderId="68" xfId="33" applyNumberFormat="1" applyFont="1" applyFill="1" applyBorder="1" applyAlignment="1" applyProtection="1">
      <alignment horizontal="right" vertical="center" shrinkToFit="1" readingOrder="1"/>
    </xf>
    <xf numFmtId="186" fontId="32" fillId="7" borderId="101" xfId="33" applyNumberFormat="1" applyFont="1" applyFill="1" applyBorder="1" applyAlignment="1" applyProtection="1">
      <alignment horizontal="right" vertical="center" shrinkToFit="1" readingOrder="1"/>
    </xf>
    <xf numFmtId="186" fontId="32" fillId="7" borderId="70" xfId="33" applyNumberFormat="1" applyFont="1" applyFill="1" applyBorder="1" applyAlignment="1" applyProtection="1">
      <alignment horizontal="right" vertical="center" shrinkToFit="1" readingOrder="1"/>
    </xf>
    <xf numFmtId="186" fontId="32" fillId="7" borderId="83" xfId="33" applyNumberFormat="1" applyFont="1" applyFill="1" applyBorder="1" applyAlignment="1" applyProtection="1">
      <alignment horizontal="right" vertical="center" shrinkToFit="1" readingOrder="1"/>
    </xf>
    <xf numFmtId="9" fontId="32" fillId="7" borderId="70" xfId="33" applyNumberFormat="1" applyFont="1" applyFill="1" applyBorder="1" applyAlignment="1" applyProtection="1">
      <alignment horizontal="right" vertical="center" shrinkToFit="1" readingOrder="2"/>
    </xf>
    <xf numFmtId="9" fontId="32" fillId="7" borderId="83" xfId="33" applyNumberFormat="1" applyFont="1" applyFill="1" applyBorder="1" applyAlignment="1" applyProtection="1">
      <alignment horizontal="right" vertical="center" shrinkToFit="1" readingOrder="2"/>
    </xf>
    <xf numFmtId="174" fontId="32" fillId="3" borderId="0" xfId="14" applyNumberFormat="1" applyFont="1" applyFill="1" applyAlignment="1" applyProtection="1">
      <alignment horizontal="right" vertical="center" readingOrder="2"/>
    </xf>
    <xf numFmtId="176" fontId="105" fillId="6" borderId="3" xfId="14" applyNumberFormat="1" applyFont="1" applyFill="1" applyBorder="1" applyAlignment="1" applyProtection="1">
      <alignment horizontal="right" vertical="center" readingOrder="2"/>
    </xf>
    <xf numFmtId="0" fontId="34" fillId="3" borderId="0" xfId="14" applyFont="1" applyFill="1" applyBorder="1" applyAlignment="1" applyProtection="1">
      <alignment horizontal="right" vertical="center" wrapText="1" readingOrder="2"/>
    </xf>
    <xf numFmtId="0" fontId="89" fillId="2" borderId="0" xfId="14" applyFont="1" applyFill="1" applyBorder="1" applyAlignment="1" applyProtection="1">
      <alignment horizontal="right" vertical="center" wrapText="1" readingOrder="2"/>
    </xf>
    <xf numFmtId="0" fontId="91" fillId="2" borderId="0" xfId="14" applyFont="1" applyFill="1" applyBorder="1" applyAlignment="1" applyProtection="1">
      <alignment horizontal="right" vertical="center" readingOrder="2"/>
    </xf>
    <xf numFmtId="0" fontId="91" fillId="2" borderId="0" xfId="14" applyFont="1" applyFill="1" applyAlignment="1" applyProtection="1">
      <alignment horizontal="right" vertical="center" wrapText="1" readingOrder="2"/>
    </xf>
    <xf numFmtId="165" fontId="91" fillId="2" borderId="0" xfId="14" applyNumberFormat="1" applyFont="1" applyFill="1" applyBorder="1" applyAlignment="1" applyProtection="1">
      <alignment horizontal="right" vertical="center" shrinkToFit="1" readingOrder="2"/>
    </xf>
    <xf numFmtId="0" fontId="91" fillId="2" borderId="0" xfId="14" applyFont="1" applyFill="1" applyAlignment="1" applyProtection="1">
      <alignment horizontal="right" vertical="center" readingOrder="2"/>
    </xf>
    <xf numFmtId="0" fontId="108" fillId="2" borderId="0" xfId="14" applyFont="1" applyFill="1" applyAlignment="1" applyProtection="1">
      <alignment horizontal="right" vertical="center" readingOrder="2"/>
    </xf>
    <xf numFmtId="0" fontId="89" fillId="2" borderId="39" xfId="14" applyFont="1" applyFill="1" applyBorder="1" applyAlignment="1" applyProtection="1">
      <alignment horizontal="right" vertical="center" wrapText="1" readingOrder="2"/>
    </xf>
    <xf numFmtId="0" fontId="89" fillId="2" borderId="40" xfId="14" applyFont="1" applyFill="1" applyBorder="1" applyAlignment="1" applyProtection="1">
      <alignment horizontal="right" vertical="center" readingOrder="2"/>
    </xf>
    <xf numFmtId="0" fontId="89" fillId="2" borderId="41" xfId="14" applyFont="1" applyFill="1" applyBorder="1" applyAlignment="1" applyProtection="1">
      <alignment horizontal="right" vertical="center" readingOrder="2"/>
    </xf>
    <xf numFmtId="173" fontId="89" fillId="2" borderId="39" xfId="18" applyFont="1" applyFill="1" applyBorder="1" applyAlignment="1" applyProtection="1">
      <alignment horizontal="right" vertical="center" readingOrder="2"/>
    </xf>
    <xf numFmtId="0" fontId="89" fillId="2" borderId="40" xfId="14" quotePrefix="1" applyFont="1" applyFill="1" applyBorder="1" applyAlignment="1" applyProtection="1">
      <alignment horizontal="right" vertical="center" readingOrder="2"/>
    </xf>
    <xf numFmtId="0" fontId="89" fillId="2" borderId="41" xfId="14" quotePrefix="1" applyFont="1" applyFill="1" applyBorder="1" applyAlignment="1" applyProtection="1">
      <alignment horizontal="right" vertical="center" readingOrder="2"/>
    </xf>
    <xf numFmtId="0" fontId="91" fillId="2" borderId="29" xfId="14" applyFont="1" applyFill="1" applyBorder="1" applyAlignment="1" applyProtection="1">
      <alignment horizontal="right" vertical="center" wrapText="1" readingOrder="2"/>
    </xf>
    <xf numFmtId="165" fontId="91" fillId="2" borderId="67" xfId="14" applyNumberFormat="1" applyFont="1" applyFill="1" applyBorder="1" applyAlignment="1" applyProtection="1">
      <alignment horizontal="right" vertical="center" shrinkToFit="1" readingOrder="2"/>
    </xf>
    <xf numFmtId="10" fontId="91" fillId="2" borderId="67" xfId="14" applyNumberFormat="1" applyFont="1" applyFill="1" applyBorder="1" applyAlignment="1" applyProtection="1">
      <alignment horizontal="right" vertical="center" shrinkToFit="1" readingOrder="1"/>
    </xf>
    <xf numFmtId="10" fontId="91" fillId="2" borderId="43" xfId="14" applyNumberFormat="1" applyFont="1" applyFill="1" applyBorder="1" applyAlignment="1" applyProtection="1">
      <alignment horizontal="right" vertical="center" shrinkToFit="1" readingOrder="1"/>
    </xf>
    <xf numFmtId="0" fontId="91" fillId="2" borderId="29" xfId="14" applyFont="1" applyFill="1" applyBorder="1" applyAlignment="1" applyProtection="1">
      <alignment horizontal="right" vertical="center" readingOrder="2"/>
    </xf>
    <xf numFmtId="165" fontId="91" fillId="2" borderId="43" xfId="14" applyNumberFormat="1" applyFont="1" applyFill="1" applyBorder="1" applyAlignment="1" applyProtection="1">
      <alignment horizontal="right" vertical="center" shrinkToFit="1" readingOrder="2"/>
    </xf>
    <xf numFmtId="186" fontId="91" fillId="2" borderId="0" xfId="14" applyNumberFormat="1" applyFont="1" applyFill="1" applyBorder="1" applyAlignment="1" applyProtection="1">
      <alignment horizontal="right" vertical="center" shrinkToFit="1" readingOrder="1"/>
    </xf>
    <xf numFmtId="186" fontId="91" fillId="2" borderId="48" xfId="14" applyNumberFormat="1" applyFont="1" applyFill="1" applyBorder="1" applyAlignment="1" applyProtection="1">
      <alignment horizontal="right" vertical="center" shrinkToFit="1" readingOrder="1"/>
    </xf>
    <xf numFmtId="165" fontId="91" fillId="2" borderId="48" xfId="14" applyNumberFormat="1" applyFont="1" applyFill="1" applyBorder="1" applyAlignment="1" applyProtection="1">
      <alignment horizontal="right" vertical="center" shrinkToFit="1" readingOrder="2"/>
    </xf>
    <xf numFmtId="0" fontId="91" fillId="2" borderId="29" xfId="14" applyFont="1" applyFill="1" applyBorder="1" applyAlignment="1" applyProtection="1">
      <alignment horizontal="right" vertical="center" shrinkToFit="1" readingOrder="2"/>
    </xf>
    <xf numFmtId="165" fontId="91" fillId="2" borderId="24" xfId="14" applyNumberFormat="1" applyFont="1" applyFill="1" applyBorder="1" applyAlignment="1" applyProtection="1">
      <alignment horizontal="right" vertical="center" shrinkToFit="1" readingOrder="2"/>
    </xf>
    <xf numFmtId="186" fontId="91" fillId="2" borderId="24" xfId="14" applyNumberFormat="1" applyFont="1" applyFill="1" applyBorder="1" applyAlignment="1" applyProtection="1">
      <alignment horizontal="right" vertical="center" shrinkToFit="1" readingOrder="1"/>
    </xf>
    <xf numFmtId="186" fontId="91" fillId="2" borderId="47" xfId="14" applyNumberFormat="1" applyFont="1" applyFill="1" applyBorder="1" applyAlignment="1" applyProtection="1">
      <alignment horizontal="right" vertical="center" shrinkToFit="1" readingOrder="1"/>
    </xf>
    <xf numFmtId="165" fontId="91" fillId="2" borderId="15" xfId="14" applyNumberFormat="1" applyFont="1" applyFill="1" applyBorder="1" applyAlignment="1" applyProtection="1">
      <alignment horizontal="right" vertical="center" shrinkToFit="1" readingOrder="2"/>
    </xf>
    <xf numFmtId="186" fontId="91" fillId="2" borderId="15" xfId="14" applyNumberFormat="1" applyFont="1" applyFill="1" applyBorder="1" applyAlignment="1" applyProtection="1">
      <alignment horizontal="right" vertical="center" shrinkToFit="1" readingOrder="1"/>
    </xf>
    <xf numFmtId="186" fontId="91" fillId="2" borderId="150" xfId="14" applyNumberFormat="1" applyFont="1" applyFill="1" applyBorder="1" applyAlignment="1" applyProtection="1">
      <alignment horizontal="right" vertical="center" shrinkToFit="1" readingOrder="1"/>
    </xf>
    <xf numFmtId="0" fontId="91" fillId="2" borderId="167" xfId="14" applyFont="1" applyFill="1" applyBorder="1" applyAlignment="1" applyProtection="1">
      <alignment horizontal="right" vertical="center" readingOrder="2"/>
    </xf>
    <xf numFmtId="0" fontId="91" fillId="2" borderId="173" xfId="14" applyFont="1" applyFill="1" applyBorder="1" applyAlignment="1" applyProtection="1">
      <alignment horizontal="right" vertical="center" readingOrder="2"/>
    </xf>
    <xf numFmtId="165" fontId="91" fillId="2" borderId="150" xfId="14" applyNumberFormat="1" applyFont="1" applyFill="1" applyBorder="1" applyAlignment="1" applyProtection="1">
      <alignment horizontal="right" vertical="center" shrinkToFit="1" readingOrder="2"/>
    </xf>
    <xf numFmtId="165" fontId="91" fillId="2" borderId="167" xfId="14" applyNumberFormat="1" applyFont="1" applyFill="1" applyBorder="1" applyAlignment="1" applyProtection="1">
      <alignment horizontal="right" vertical="center" shrinkToFit="1" readingOrder="2"/>
    </xf>
    <xf numFmtId="165" fontId="91" fillId="2" borderId="173" xfId="14" applyNumberFormat="1" applyFont="1" applyFill="1" applyBorder="1" applyAlignment="1" applyProtection="1">
      <alignment horizontal="right" vertical="center" shrinkToFit="1" readingOrder="2"/>
    </xf>
    <xf numFmtId="186" fontId="91" fillId="2" borderId="67" xfId="14" applyNumberFormat="1" applyFont="1" applyFill="1" applyBorder="1" applyAlignment="1" applyProtection="1">
      <alignment horizontal="right" vertical="center" shrinkToFit="1" readingOrder="1"/>
    </xf>
    <xf numFmtId="186" fontId="91" fillId="2" borderId="43" xfId="14" applyNumberFormat="1" applyFont="1" applyFill="1" applyBorder="1" applyAlignment="1" applyProtection="1">
      <alignment horizontal="right" vertical="center" shrinkToFit="1" readingOrder="1"/>
    </xf>
    <xf numFmtId="0" fontId="91" fillId="2" borderId="48" xfId="14" applyFont="1" applyFill="1" applyBorder="1" applyAlignment="1" applyProtection="1">
      <alignment horizontal="right" vertical="center" readingOrder="2"/>
    </xf>
    <xf numFmtId="0" fontId="91" fillId="2" borderId="0" xfId="14" applyNumberFormat="1" applyFont="1" applyFill="1" applyBorder="1" applyAlignment="1" applyProtection="1">
      <alignment horizontal="right" vertical="center" readingOrder="2"/>
    </xf>
    <xf numFmtId="0" fontId="91" fillId="2" borderId="48" xfId="14" applyNumberFormat="1" applyFont="1" applyFill="1" applyBorder="1" applyAlignment="1" applyProtection="1">
      <alignment horizontal="right" vertical="center" readingOrder="2"/>
    </xf>
    <xf numFmtId="0" fontId="91" fillId="2" borderId="39" xfId="14" applyFont="1" applyFill="1" applyBorder="1" applyAlignment="1" applyProtection="1">
      <alignment horizontal="right" vertical="center" readingOrder="2"/>
    </xf>
    <xf numFmtId="165" fontId="91" fillId="2" borderId="20" xfId="14" applyNumberFormat="1" applyFont="1" applyFill="1" applyBorder="1" applyAlignment="1" applyProtection="1">
      <alignment horizontal="right" vertical="center" shrinkToFit="1" readingOrder="2"/>
    </xf>
    <xf numFmtId="165" fontId="89" fillId="2" borderId="67" xfId="14" applyNumberFormat="1" applyFont="1" applyFill="1" applyBorder="1" applyAlignment="1" applyProtection="1">
      <alignment horizontal="right" vertical="center" shrinkToFit="1" readingOrder="2"/>
    </xf>
    <xf numFmtId="165" fontId="89" fillId="2" borderId="48" xfId="14" applyNumberFormat="1" applyFont="1" applyFill="1" applyBorder="1" applyAlignment="1" applyProtection="1">
      <alignment horizontal="right" vertical="center" shrinkToFit="1" readingOrder="2"/>
    </xf>
    <xf numFmtId="0" fontId="91" fillId="2" borderId="45" xfId="14" applyNumberFormat="1" applyFont="1" applyFill="1" applyBorder="1" applyAlignment="1" applyProtection="1">
      <alignment horizontal="right" vertical="center" wrapText="1" readingOrder="2"/>
    </xf>
    <xf numFmtId="0" fontId="91" fillId="2" borderId="24" xfId="14" applyNumberFormat="1" applyFont="1" applyFill="1" applyBorder="1" applyAlignment="1" applyProtection="1">
      <alignment horizontal="right" vertical="center" readingOrder="2"/>
    </xf>
    <xf numFmtId="0" fontId="91" fillId="2" borderId="47" xfId="14" applyNumberFormat="1" applyFont="1" applyFill="1" applyBorder="1" applyAlignment="1" applyProtection="1">
      <alignment horizontal="right" vertical="center" readingOrder="2"/>
    </xf>
    <xf numFmtId="0" fontId="91" fillId="2" borderId="45" xfId="14" applyFont="1" applyFill="1" applyBorder="1" applyAlignment="1" applyProtection="1">
      <alignment horizontal="right" vertical="center" readingOrder="2"/>
    </xf>
    <xf numFmtId="0" fontId="91" fillId="2" borderId="24" xfId="14" applyFont="1" applyFill="1" applyBorder="1" applyAlignment="1" applyProtection="1">
      <alignment horizontal="right" vertical="center" readingOrder="2"/>
    </xf>
    <xf numFmtId="0" fontId="91" fillId="2" borderId="47" xfId="14" applyFont="1" applyFill="1" applyBorder="1" applyAlignment="1" applyProtection="1">
      <alignment horizontal="right" vertical="center" readingOrder="2"/>
    </xf>
    <xf numFmtId="0" fontId="91" fillId="2" borderId="39" xfId="14" applyFont="1" applyFill="1" applyBorder="1" applyAlignment="1" applyProtection="1">
      <alignment horizontal="right" vertical="center" wrapText="1" readingOrder="2"/>
    </xf>
    <xf numFmtId="186" fontId="91" fillId="2" borderId="67" xfId="33" applyNumberFormat="1" applyFont="1" applyFill="1" applyBorder="1" applyAlignment="1" applyProtection="1">
      <alignment horizontal="right" vertical="center" shrinkToFit="1" readingOrder="1"/>
    </xf>
    <xf numFmtId="186" fontId="91" fillId="2" borderId="43" xfId="33" applyNumberFormat="1" applyFont="1" applyFill="1" applyBorder="1" applyAlignment="1" applyProtection="1">
      <alignment horizontal="right" vertical="center" shrinkToFit="1" readingOrder="1"/>
    </xf>
    <xf numFmtId="186" fontId="91" fillId="2" borderId="0" xfId="33" applyNumberFormat="1" applyFont="1" applyFill="1" applyBorder="1" applyAlignment="1" applyProtection="1">
      <alignment horizontal="right" vertical="center" shrinkToFit="1" readingOrder="1"/>
    </xf>
    <xf numFmtId="186" fontId="91" fillId="2" borderId="48" xfId="33" applyNumberFormat="1" applyFont="1" applyFill="1" applyBorder="1" applyAlignment="1" applyProtection="1">
      <alignment horizontal="right" vertical="center" shrinkToFit="1" readingOrder="1"/>
    </xf>
    <xf numFmtId="0" fontId="91" fillId="2" borderId="45" xfId="14" applyFont="1" applyFill="1" applyBorder="1" applyAlignment="1" applyProtection="1">
      <alignment horizontal="right" vertical="center" wrapText="1" readingOrder="2"/>
    </xf>
    <xf numFmtId="165" fontId="89" fillId="2" borderId="0" xfId="14" applyNumberFormat="1" applyFont="1" applyFill="1" applyBorder="1" applyAlignment="1" applyProtection="1">
      <alignment horizontal="right" vertical="center" shrinkToFit="1" readingOrder="2"/>
    </xf>
    <xf numFmtId="9" fontId="91" fillId="2" borderId="0" xfId="33" applyNumberFormat="1" applyFont="1" applyFill="1" applyBorder="1" applyAlignment="1" applyProtection="1">
      <alignment horizontal="right" vertical="center" shrinkToFit="1" readingOrder="2"/>
    </xf>
    <xf numFmtId="9" fontId="91" fillId="2" borderId="48" xfId="33" applyNumberFormat="1" applyFont="1" applyFill="1" applyBorder="1" applyAlignment="1" applyProtection="1">
      <alignment horizontal="right" vertical="center" shrinkToFit="1" readingOrder="2"/>
    </xf>
    <xf numFmtId="0" fontId="91" fillId="2" borderId="0" xfId="14" applyNumberFormat="1" applyFont="1" applyFill="1" applyAlignment="1" applyProtection="1">
      <alignment horizontal="right" vertical="center" readingOrder="2"/>
    </xf>
    <xf numFmtId="0" fontId="91" fillId="2" borderId="0" xfId="14" applyFont="1" applyFill="1" applyBorder="1" applyAlignment="1" applyProtection="1">
      <alignment horizontal="right" vertical="center" wrapText="1" readingOrder="2"/>
    </xf>
    <xf numFmtId="0" fontId="67" fillId="4" borderId="0" xfId="14" applyFont="1" applyFill="1" applyAlignment="1" applyProtection="1">
      <alignment horizontal="right" vertical="center" readingOrder="2"/>
    </xf>
    <xf numFmtId="0" fontId="67" fillId="5" borderId="53" xfId="14" applyFont="1" applyFill="1" applyBorder="1" applyAlignment="1" applyProtection="1">
      <alignment horizontal="right" vertical="center" readingOrder="2"/>
    </xf>
    <xf numFmtId="0" fontId="67" fillId="5" borderId="38" xfId="14" applyFont="1" applyFill="1" applyBorder="1" applyAlignment="1" applyProtection="1">
      <alignment horizontal="right" vertical="center" readingOrder="2"/>
    </xf>
    <xf numFmtId="0" fontId="37" fillId="5" borderId="38" xfId="14" applyFont="1" applyFill="1" applyBorder="1" applyAlignment="1" applyProtection="1">
      <alignment horizontal="right" vertical="center" readingOrder="2"/>
    </xf>
    <xf numFmtId="0" fontId="37" fillId="5" borderId="90" xfId="14" applyFont="1" applyFill="1" applyBorder="1" applyAlignment="1" applyProtection="1">
      <alignment horizontal="right" vertical="center" readingOrder="2"/>
    </xf>
    <xf numFmtId="0" fontId="67" fillId="5" borderId="3" xfId="14" applyFont="1" applyFill="1" applyBorder="1" applyAlignment="1" applyProtection="1">
      <alignment horizontal="right" vertical="center" readingOrder="2"/>
    </xf>
    <xf numFmtId="0" fontId="67" fillId="5" borderId="21" xfId="14" applyFont="1" applyFill="1" applyBorder="1" applyAlignment="1" applyProtection="1">
      <alignment horizontal="right" vertical="center" readingOrder="2"/>
    </xf>
    <xf numFmtId="0" fontId="51" fillId="6" borderId="53" xfId="14" applyFont="1" applyFill="1" applyBorder="1" applyAlignment="1" applyProtection="1">
      <alignment horizontal="right" vertical="center" readingOrder="2"/>
    </xf>
    <xf numFmtId="0" fontId="32" fillId="6" borderId="38" xfId="14" applyFont="1" applyFill="1" applyBorder="1" applyAlignment="1" applyProtection="1">
      <alignment horizontal="right" vertical="center" readingOrder="2"/>
    </xf>
    <xf numFmtId="0" fontId="32" fillId="6" borderId="8" xfId="20" applyFont="1" applyFill="1" applyBorder="1" applyAlignment="1" applyProtection="1">
      <alignment horizontal="right" vertical="center" readingOrder="2"/>
    </xf>
    <xf numFmtId="0" fontId="32" fillId="8" borderId="11" xfId="14" applyFont="1" applyFill="1" applyBorder="1" applyAlignment="1" applyProtection="1">
      <alignment horizontal="right" vertical="center" readingOrder="2"/>
      <protection locked="0"/>
    </xf>
    <xf numFmtId="165" fontId="32" fillId="7" borderId="174" xfId="14" applyNumberFormat="1" applyFont="1" applyFill="1" applyBorder="1" applyAlignment="1" applyProtection="1">
      <alignment horizontal="right" vertical="center" shrinkToFit="1" readingOrder="2"/>
    </xf>
    <xf numFmtId="0" fontId="32" fillId="6" borderId="0" xfId="20" applyFont="1" applyFill="1" applyBorder="1" applyAlignment="1" applyProtection="1">
      <alignment horizontal="right" vertical="center" readingOrder="2"/>
    </xf>
    <xf numFmtId="37" fontId="32" fillId="6" borderId="8" xfId="14" applyNumberFormat="1" applyFont="1" applyFill="1" applyBorder="1" applyAlignment="1" applyProtection="1">
      <alignment horizontal="right" vertical="center" readingOrder="2"/>
    </xf>
    <xf numFmtId="0" fontId="32" fillId="6" borderId="11" xfId="14" applyFont="1" applyFill="1" applyBorder="1" applyAlignment="1" applyProtection="1">
      <alignment horizontal="right" vertical="center" readingOrder="2"/>
    </xf>
    <xf numFmtId="0" fontId="32" fillId="6" borderId="175" xfId="14" applyFont="1" applyFill="1" applyBorder="1" applyAlignment="1" applyProtection="1">
      <alignment horizontal="right" vertical="center" readingOrder="2"/>
    </xf>
    <xf numFmtId="0" fontId="32" fillId="6" borderId="9" xfId="14" applyFont="1" applyFill="1" applyBorder="1" applyAlignment="1" applyProtection="1">
      <alignment horizontal="right" vertical="center" readingOrder="1"/>
    </xf>
    <xf numFmtId="3" fontId="32" fillId="6" borderId="8" xfId="20" applyNumberFormat="1" applyFont="1" applyFill="1" applyBorder="1" applyAlignment="1" applyProtection="1">
      <alignment horizontal="right" vertical="center" readingOrder="2"/>
    </xf>
    <xf numFmtId="186" fontId="32" fillId="2" borderId="0" xfId="14" applyNumberFormat="1" applyFont="1" applyFill="1" applyBorder="1" applyAlignment="1" applyProtection="1">
      <alignment horizontal="right" vertical="center" shrinkToFit="1" readingOrder="1"/>
    </xf>
    <xf numFmtId="0" fontId="37" fillId="4" borderId="0" xfId="14" applyFont="1" applyFill="1" applyBorder="1" applyAlignment="1" applyProtection="1">
      <alignment horizontal="right" vertical="center" readingOrder="2"/>
    </xf>
    <xf numFmtId="0" fontId="4" fillId="3" borderId="4" xfId="14" applyFill="1" applyBorder="1" applyAlignment="1" applyProtection="1">
      <alignment horizontal="right" vertical="center" readingOrder="2"/>
    </xf>
    <xf numFmtId="0" fontId="109" fillId="5" borderId="53" xfId="14" applyFont="1" applyFill="1" applyBorder="1" applyAlignment="1" applyProtection="1">
      <alignment horizontal="right" vertical="center" readingOrder="2"/>
    </xf>
    <xf numFmtId="0" fontId="109" fillId="5" borderId="37" xfId="14" applyFont="1" applyFill="1" applyBorder="1" applyAlignment="1" applyProtection="1">
      <alignment horizontal="right" vertical="center" readingOrder="2"/>
    </xf>
    <xf numFmtId="0" fontId="4" fillId="6" borderId="38" xfId="14" applyFill="1" applyBorder="1" applyAlignment="1" applyProtection="1">
      <alignment horizontal="right" vertical="center" readingOrder="2"/>
    </xf>
    <xf numFmtId="0" fontId="32" fillId="8" borderId="70" xfId="14" applyFont="1" applyFill="1" applyBorder="1" applyAlignment="1" applyProtection="1">
      <alignment horizontal="right" vertical="center" readingOrder="2"/>
      <protection locked="0"/>
    </xf>
    <xf numFmtId="165" fontId="4" fillId="7" borderId="71" xfId="14" applyNumberFormat="1" applyFill="1" applyBorder="1" applyAlignment="1" applyProtection="1">
      <alignment horizontal="right" vertical="center" shrinkToFit="1" readingOrder="2"/>
    </xf>
    <xf numFmtId="186" fontId="4" fillId="7" borderId="83" xfId="14" applyNumberFormat="1" applyFill="1" applyBorder="1" applyAlignment="1" applyProtection="1">
      <alignment horizontal="right" vertical="center" shrinkToFit="1" readingOrder="1"/>
    </xf>
    <xf numFmtId="165" fontId="4" fillId="6" borderId="11" xfId="14" applyNumberFormat="1" applyFill="1" applyBorder="1" applyAlignment="1" applyProtection="1">
      <alignment horizontal="right" vertical="center" shrinkToFit="1" readingOrder="2"/>
    </xf>
    <xf numFmtId="10" fontId="4" fillId="6" borderId="119" xfId="14" applyNumberFormat="1" applyFill="1" applyBorder="1" applyAlignment="1" applyProtection="1">
      <alignment horizontal="right" vertical="center" shrinkToFit="1" readingOrder="1"/>
    </xf>
    <xf numFmtId="0" fontId="110" fillId="6" borderId="37" xfId="14" applyFont="1" applyFill="1" applyBorder="1" applyAlignment="1" applyProtection="1">
      <alignment horizontal="right" vertical="center" readingOrder="2"/>
    </xf>
    <xf numFmtId="0" fontId="111" fillId="6" borderId="3" xfId="14" applyFont="1" applyFill="1" applyBorder="1" applyAlignment="1" applyProtection="1">
      <alignment horizontal="right" vertical="center" readingOrder="2"/>
    </xf>
    <xf numFmtId="0" fontId="4" fillId="3" borderId="22" xfId="14" applyFill="1" applyBorder="1" applyAlignment="1" applyProtection="1">
      <alignment horizontal="right" vertical="center" readingOrder="2"/>
    </xf>
    <xf numFmtId="0" fontId="111" fillId="3" borderId="22" xfId="14" applyFont="1" applyFill="1" applyBorder="1" applyAlignment="1" applyProtection="1">
      <alignment horizontal="right" vertical="center" readingOrder="2"/>
    </xf>
    <xf numFmtId="0" fontId="4" fillId="3" borderId="147" xfId="14" applyFill="1" applyBorder="1" applyAlignment="1" applyProtection="1">
      <alignment horizontal="right" vertical="center" readingOrder="2"/>
    </xf>
    <xf numFmtId="0" fontId="111" fillId="2" borderId="0" xfId="14" applyFont="1" applyFill="1" applyAlignment="1" applyProtection="1">
      <alignment horizontal="right" vertical="center" readingOrder="2"/>
    </xf>
    <xf numFmtId="0" fontId="4" fillId="0" borderId="0" xfId="14" applyAlignment="1" applyProtection="1">
      <alignment horizontal="right" vertical="center" readingOrder="2"/>
    </xf>
    <xf numFmtId="0" fontId="67" fillId="4" borderId="0" xfId="14" applyFont="1" applyFill="1" applyBorder="1" applyAlignment="1">
      <alignment horizontal="right" vertical="center" readingOrder="2"/>
    </xf>
    <xf numFmtId="0" fontId="4" fillId="2" borderId="0" xfId="14" applyFont="1" applyFill="1" applyBorder="1" applyAlignment="1">
      <alignment horizontal="right" vertical="center" readingOrder="2"/>
    </xf>
    <xf numFmtId="0" fontId="4" fillId="3" borderId="4" xfId="14" applyFont="1" applyFill="1" applyBorder="1" applyAlignment="1">
      <alignment horizontal="right" vertical="center" readingOrder="2"/>
    </xf>
    <xf numFmtId="0" fontId="4" fillId="3" borderId="0" xfId="14" applyFont="1" applyFill="1" applyBorder="1" applyAlignment="1">
      <alignment horizontal="right" vertical="center" readingOrder="2"/>
    </xf>
    <xf numFmtId="0" fontId="67" fillId="5" borderId="53" xfId="14" applyFont="1" applyFill="1" applyBorder="1" applyAlignment="1">
      <alignment horizontal="right" vertical="center" readingOrder="2"/>
    </xf>
    <xf numFmtId="0" fontId="67" fillId="5" borderId="38" xfId="14" applyFont="1" applyFill="1" applyBorder="1" applyAlignment="1">
      <alignment horizontal="right" vertical="center" readingOrder="2"/>
    </xf>
    <xf numFmtId="0" fontId="37" fillId="5" borderId="38" xfId="14" applyFont="1" applyFill="1" applyBorder="1" applyAlignment="1">
      <alignment horizontal="right" vertical="center" readingOrder="2"/>
    </xf>
    <xf numFmtId="0" fontId="37" fillId="5" borderId="27" xfId="14" applyFont="1" applyFill="1" applyBorder="1" applyAlignment="1">
      <alignment horizontal="right" vertical="center" readingOrder="2"/>
    </xf>
    <xf numFmtId="0" fontId="37" fillId="5" borderId="90" xfId="14" applyFont="1" applyFill="1" applyBorder="1" applyAlignment="1">
      <alignment horizontal="right" vertical="center" readingOrder="2"/>
    </xf>
    <xf numFmtId="0" fontId="67" fillId="5" borderId="37" xfId="14" applyFont="1" applyFill="1" applyBorder="1" applyAlignment="1">
      <alignment horizontal="right" vertical="center" readingOrder="2"/>
    </xf>
    <xf numFmtId="0" fontId="67" fillId="5" borderId="3" xfId="14" applyFont="1" applyFill="1" applyBorder="1" applyAlignment="1">
      <alignment horizontal="right" vertical="center" readingOrder="2"/>
    </xf>
    <xf numFmtId="0" fontId="67" fillId="5" borderId="21" xfId="14" applyFont="1" applyFill="1" applyBorder="1" applyAlignment="1">
      <alignment horizontal="right" vertical="center" readingOrder="2"/>
    </xf>
    <xf numFmtId="0" fontId="51" fillId="6" borderId="53" xfId="14" applyFont="1" applyFill="1" applyBorder="1" applyAlignment="1">
      <alignment horizontal="right" vertical="center" readingOrder="2"/>
    </xf>
    <xf numFmtId="0" fontId="32" fillId="6" borderId="38" xfId="14" applyFont="1" applyFill="1" applyBorder="1" applyAlignment="1">
      <alignment horizontal="right" vertical="center" readingOrder="2"/>
    </xf>
    <xf numFmtId="0" fontId="4" fillId="6" borderId="0" xfId="14" applyFont="1" applyFill="1" applyBorder="1" applyAlignment="1">
      <alignment horizontal="right" vertical="center" readingOrder="2"/>
    </xf>
    <xf numFmtId="0" fontId="4" fillId="6" borderId="9" xfId="14" applyFont="1" applyFill="1" applyBorder="1" applyAlignment="1">
      <alignment horizontal="right" vertical="center" readingOrder="2"/>
    </xf>
    <xf numFmtId="0" fontId="32" fillId="6" borderId="8" xfId="20" applyFont="1" applyFill="1" applyBorder="1" applyAlignment="1">
      <alignment horizontal="right" vertical="center" readingOrder="2"/>
    </xf>
    <xf numFmtId="0" fontId="32" fillId="6" borderId="0" xfId="14" applyFont="1" applyFill="1" applyBorder="1" applyAlignment="1">
      <alignment horizontal="right" vertical="center" readingOrder="2"/>
    </xf>
    <xf numFmtId="0" fontId="4" fillId="8" borderId="68" xfId="14" applyFont="1" applyFill="1" applyBorder="1" applyAlignment="1" applyProtection="1">
      <alignment horizontal="right" vertical="center" readingOrder="2"/>
      <protection locked="0"/>
    </xf>
    <xf numFmtId="165" fontId="4" fillId="7" borderId="71" xfId="14" applyNumberFormat="1" applyFont="1" applyFill="1" applyBorder="1" applyAlignment="1">
      <alignment horizontal="right" vertical="center" shrinkToFit="1" readingOrder="2"/>
    </xf>
    <xf numFmtId="185" fontId="4" fillId="7" borderId="83" xfId="14" applyNumberFormat="1" applyFont="1" applyFill="1" applyBorder="1" applyAlignment="1">
      <alignment horizontal="right" vertical="center" shrinkToFit="1" readingOrder="1"/>
    </xf>
    <xf numFmtId="0" fontId="32" fillId="6" borderId="8" xfId="14" applyFont="1" applyFill="1" applyBorder="1" applyAlignment="1">
      <alignment horizontal="right" vertical="center" readingOrder="2"/>
    </xf>
    <xf numFmtId="0" fontId="4" fillId="8" borderId="70" xfId="14" applyFont="1" applyFill="1" applyBorder="1" applyAlignment="1" applyProtection="1">
      <alignment horizontal="right" vertical="center" readingOrder="2"/>
      <protection locked="0"/>
    </xf>
    <xf numFmtId="0" fontId="32" fillId="6" borderId="0" xfId="20" applyFont="1" applyFill="1" applyBorder="1" applyAlignment="1">
      <alignment horizontal="right" vertical="center" readingOrder="2"/>
    </xf>
    <xf numFmtId="37" fontId="32" fillId="6" borderId="8" xfId="14" applyNumberFormat="1" applyFont="1" applyFill="1" applyBorder="1" applyAlignment="1">
      <alignment horizontal="right" vertical="center" readingOrder="2"/>
    </xf>
    <xf numFmtId="186" fontId="4" fillId="7" borderId="83" xfId="14" applyNumberFormat="1" applyFont="1" applyFill="1" applyBorder="1" applyAlignment="1">
      <alignment horizontal="right" vertical="center" shrinkToFit="1" readingOrder="1"/>
    </xf>
    <xf numFmtId="0" fontId="51" fillId="6" borderId="8" xfId="14" applyFont="1" applyFill="1" applyBorder="1" applyAlignment="1">
      <alignment horizontal="right" vertical="center" readingOrder="2"/>
    </xf>
    <xf numFmtId="0" fontId="4" fillId="6" borderId="11" xfId="14" applyFont="1" applyFill="1" applyBorder="1" applyAlignment="1">
      <alignment horizontal="right" vertical="center" readingOrder="2"/>
    </xf>
    <xf numFmtId="165" fontId="4" fillId="6" borderId="11" xfId="14" applyNumberFormat="1" applyFont="1" applyFill="1" applyBorder="1" applyAlignment="1">
      <alignment horizontal="right" vertical="center" shrinkToFit="1" readingOrder="2"/>
    </xf>
    <xf numFmtId="10" fontId="4" fillId="6" borderId="119" xfId="14" applyNumberFormat="1" applyFont="1" applyFill="1" applyBorder="1" applyAlignment="1">
      <alignment horizontal="right" vertical="center" shrinkToFit="1" readingOrder="1"/>
    </xf>
    <xf numFmtId="3" fontId="32" fillId="6" borderId="8" xfId="20" applyNumberFormat="1" applyFont="1" applyFill="1" applyBorder="1" applyAlignment="1">
      <alignment horizontal="right" vertical="center" readingOrder="2"/>
    </xf>
    <xf numFmtId="0" fontId="4" fillId="8" borderId="72" xfId="14" applyFont="1" applyFill="1" applyBorder="1" applyAlignment="1" applyProtection="1">
      <alignment horizontal="right" vertical="center" readingOrder="2"/>
      <protection locked="0"/>
    </xf>
    <xf numFmtId="0" fontId="113" fillId="6" borderId="37" xfId="14" applyFont="1" applyFill="1" applyBorder="1" applyAlignment="1">
      <alignment horizontal="right" vertical="center" readingOrder="2"/>
    </xf>
    <xf numFmtId="0" fontId="4" fillId="6" borderId="3" xfId="14" applyFont="1" applyFill="1" applyBorder="1" applyAlignment="1">
      <alignment horizontal="right" vertical="center" readingOrder="2"/>
    </xf>
    <xf numFmtId="0" fontId="4" fillId="6" borderId="21" xfId="14" applyFont="1" applyFill="1" applyBorder="1" applyAlignment="1">
      <alignment horizontal="right" vertical="center" readingOrder="2"/>
    </xf>
    <xf numFmtId="0" fontId="4" fillId="3" borderId="22" xfId="14" applyFont="1" applyFill="1" applyBorder="1" applyAlignment="1">
      <alignment horizontal="right" vertical="center" readingOrder="2"/>
    </xf>
    <xf numFmtId="0" fontId="4" fillId="3" borderId="147" xfId="14" applyFont="1" applyFill="1" applyBorder="1" applyAlignment="1">
      <alignment horizontal="right" vertical="center" readingOrder="2"/>
    </xf>
    <xf numFmtId="0" fontId="4" fillId="2" borderId="0" xfId="14" applyFont="1" applyFill="1" applyAlignment="1">
      <alignment horizontal="right" vertical="center" readingOrder="2"/>
    </xf>
    <xf numFmtId="0" fontId="35" fillId="2" borderId="0" xfId="14" applyFont="1" applyFill="1" applyBorder="1" applyAlignment="1">
      <alignment horizontal="right" vertical="center" readingOrder="2"/>
    </xf>
    <xf numFmtId="0" fontId="51" fillId="2" borderId="0" xfId="14" applyFont="1" applyFill="1" applyBorder="1" applyAlignment="1">
      <alignment horizontal="right" vertical="center" readingOrder="2"/>
    </xf>
    <xf numFmtId="165" fontId="32" fillId="2" borderId="0" xfId="14" applyNumberFormat="1" applyFont="1" applyFill="1" applyBorder="1" applyAlignment="1">
      <alignment horizontal="right" vertical="center" shrinkToFit="1" readingOrder="2"/>
    </xf>
    <xf numFmtId="186" fontId="32" fillId="2" borderId="0" xfId="14" applyNumberFormat="1" applyFont="1" applyFill="1" applyBorder="1" applyAlignment="1">
      <alignment horizontal="right" vertical="center" shrinkToFit="1" readingOrder="1"/>
    </xf>
    <xf numFmtId="0" fontId="4" fillId="3" borderId="0" xfId="14" applyFill="1" applyBorder="1" applyAlignment="1">
      <alignment horizontal="right" vertical="center"/>
    </xf>
    <xf numFmtId="165" fontId="4" fillId="3" borderId="0" xfId="14" applyNumberFormat="1" applyFill="1" applyBorder="1" applyAlignment="1">
      <alignment horizontal="right" vertical="center" shrinkToFit="1"/>
    </xf>
    <xf numFmtId="0" fontId="4" fillId="3" borderId="4" xfId="14" applyFill="1" applyBorder="1" applyAlignment="1">
      <alignment horizontal="right" vertical="center"/>
    </xf>
    <xf numFmtId="0" fontId="4" fillId="2" borderId="0" xfId="14" applyFill="1" applyAlignment="1">
      <alignment horizontal="right" vertical="center"/>
    </xf>
    <xf numFmtId="0" fontId="114" fillId="3" borderId="0" xfId="14" applyFont="1" applyFill="1" applyAlignment="1">
      <alignment horizontal="right" vertical="center"/>
    </xf>
    <xf numFmtId="0" fontId="4" fillId="3" borderId="0" xfId="14" applyFill="1" applyAlignment="1">
      <alignment horizontal="right" vertical="center"/>
    </xf>
    <xf numFmtId="165" fontId="4" fillId="3" borderId="0" xfId="14" applyNumberFormat="1" applyFill="1" applyAlignment="1">
      <alignment horizontal="right" vertical="center" shrinkToFit="1"/>
    </xf>
    <xf numFmtId="0" fontId="114" fillId="5" borderId="5" xfId="14" applyFont="1" applyFill="1" applyBorder="1" applyAlignment="1">
      <alignment horizontal="right" vertical="center"/>
    </xf>
    <xf numFmtId="0" fontId="114" fillId="6" borderId="5" xfId="14" applyFont="1" applyFill="1" applyBorder="1" applyAlignment="1">
      <alignment horizontal="right" vertical="center"/>
    </xf>
    <xf numFmtId="0" fontId="4" fillId="6" borderId="176" xfId="14" applyFill="1" applyBorder="1" applyAlignment="1">
      <alignment horizontal="right" vertical="center"/>
    </xf>
    <xf numFmtId="165" fontId="4" fillId="6" borderId="6" xfId="14" applyNumberFormat="1" applyFill="1" applyBorder="1" applyAlignment="1">
      <alignment horizontal="right" vertical="center" shrinkToFit="1"/>
    </xf>
    <xf numFmtId="0" fontId="115" fillId="5" borderId="5" xfId="14" applyFont="1" applyFill="1" applyBorder="1" applyAlignment="1">
      <alignment horizontal="right" vertical="center"/>
    </xf>
    <xf numFmtId="0" fontId="114" fillId="6" borderId="177" xfId="14" applyFont="1" applyFill="1" applyBorder="1" applyAlignment="1">
      <alignment horizontal="right" vertical="center"/>
    </xf>
    <xf numFmtId="0" fontId="4" fillId="6" borderId="178" xfId="14" applyFill="1" applyBorder="1" applyAlignment="1">
      <alignment horizontal="right" vertical="center" wrapText="1"/>
    </xf>
    <xf numFmtId="0" fontId="4" fillId="6" borderId="178" xfId="14" applyFill="1" applyBorder="1" applyAlignment="1">
      <alignment horizontal="right" vertical="center" wrapText="1" readingOrder="2"/>
    </xf>
    <xf numFmtId="165" fontId="4" fillId="6" borderId="179" xfId="14" applyNumberFormat="1" applyFill="1" applyBorder="1" applyAlignment="1">
      <alignment horizontal="right" vertical="center" shrinkToFit="1"/>
    </xf>
    <xf numFmtId="0" fontId="4" fillId="6" borderId="180" xfId="14" applyFill="1" applyBorder="1" applyAlignment="1">
      <alignment horizontal="right" vertical="center"/>
    </xf>
    <xf numFmtId="0" fontId="35" fillId="6" borderId="181" xfId="14" applyFont="1" applyFill="1" applyBorder="1" applyAlignment="1">
      <alignment horizontal="right" vertical="center"/>
    </xf>
    <xf numFmtId="165" fontId="82" fillId="6" borderId="182" xfId="14" applyNumberFormat="1" applyFont="1" applyFill="1" applyBorder="1" applyAlignment="1">
      <alignment horizontal="right" vertical="center" shrinkToFit="1"/>
    </xf>
    <xf numFmtId="0" fontId="114" fillId="6" borderId="183" xfId="14" applyFont="1" applyFill="1" applyBorder="1" applyAlignment="1">
      <alignment horizontal="right" vertical="center"/>
    </xf>
    <xf numFmtId="0" fontId="4" fillId="6" borderId="184" xfId="14" applyFill="1" applyBorder="1" applyAlignment="1">
      <alignment horizontal="right" vertical="center" wrapText="1"/>
    </xf>
    <xf numFmtId="0" fontId="32" fillId="6" borderId="184" xfId="14" applyFont="1" applyFill="1" applyBorder="1" applyAlignment="1">
      <alignment horizontal="right" vertical="center" wrapText="1" readingOrder="2"/>
    </xf>
    <xf numFmtId="165" fontId="4" fillId="6" borderId="185" xfId="14" applyNumberFormat="1" applyFill="1" applyBorder="1" applyAlignment="1">
      <alignment horizontal="right" vertical="center" shrinkToFit="1"/>
    </xf>
    <xf numFmtId="0" fontId="4" fillId="6" borderId="186" xfId="14" applyFill="1" applyBorder="1" applyAlignment="1">
      <alignment horizontal="right" vertical="center"/>
    </xf>
    <xf numFmtId="0" fontId="35" fillId="6" borderId="187" xfId="14" applyFont="1" applyFill="1" applyBorder="1" applyAlignment="1">
      <alignment horizontal="right" vertical="center"/>
    </xf>
    <xf numFmtId="165" fontId="82" fillId="6" borderId="188" xfId="14" applyNumberFormat="1" applyFont="1" applyFill="1" applyBorder="1" applyAlignment="1">
      <alignment horizontal="right" vertical="center" shrinkToFit="1"/>
    </xf>
    <xf numFmtId="0" fontId="4" fillId="6" borderId="184" xfId="14" applyFill="1" applyBorder="1" applyAlignment="1">
      <alignment horizontal="right" vertical="center" wrapText="1" readingOrder="2"/>
    </xf>
    <xf numFmtId="0" fontId="4" fillId="6" borderId="186" xfId="14" applyFill="1" applyBorder="1" applyAlignment="1">
      <alignment horizontal="right" vertical="center" wrapText="1"/>
    </xf>
    <xf numFmtId="165" fontId="4" fillId="8" borderId="185" xfId="14" applyNumberFormat="1" applyFill="1" applyBorder="1" applyAlignment="1" applyProtection="1">
      <alignment horizontal="right" vertical="center" shrinkToFit="1"/>
      <protection locked="0"/>
    </xf>
    <xf numFmtId="0" fontId="4" fillId="6" borderId="184" xfId="14" applyFill="1" applyBorder="1" applyAlignment="1">
      <alignment horizontal="right" vertical="center" readingOrder="2"/>
    </xf>
    <xf numFmtId="0" fontId="4" fillId="6" borderId="184" xfId="14" applyFill="1" applyBorder="1" applyAlignment="1">
      <alignment horizontal="right" vertical="center"/>
    </xf>
    <xf numFmtId="0" fontId="4" fillId="6" borderId="189" xfId="14" applyFill="1" applyBorder="1" applyAlignment="1">
      <alignment horizontal="right" vertical="center" wrapText="1"/>
    </xf>
    <xf numFmtId="165" fontId="4" fillId="6" borderId="190" xfId="14" applyNumberFormat="1" applyFill="1" applyBorder="1" applyAlignment="1">
      <alignment horizontal="right" vertical="center" shrinkToFit="1"/>
    </xf>
    <xf numFmtId="0" fontId="114" fillId="6" borderId="183" xfId="14" applyFont="1" applyFill="1" applyBorder="1" applyAlignment="1">
      <alignment horizontal="right" vertical="center" wrapText="1"/>
    </xf>
    <xf numFmtId="0" fontId="35" fillId="6" borderId="187" xfId="14" applyFont="1" applyFill="1" applyBorder="1" applyAlignment="1">
      <alignment horizontal="right" vertical="center" wrapText="1"/>
    </xf>
    <xf numFmtId="0" fontId="4" fillId="3" borderId="4" xfId="14" applyFill="1" applyBorder="1" applyAlignment="1">
      <alignment horizontal="right" vertical="center" wrapText="1"/>
    </xf>
    <xf numFmtId="0" fontId="4" fillId="2" borderId="0" xfId="14" applyFill="1" applyAlignment="1">
      <alignment horizontal="right" vertical="center" wrapText="1"/>
    </xf>
    <xf numFmtId="0" fontId="114" fillId="6" borderId="191" xfId="14" applyFont="1" applyFill="1" applyBorder="1" applyAlignment="1">
      <alignment horizontal="right" vertical="center"/>
    </xf>
    <xf numFmtId="0" fontId="4" fillId="6" borderId="192" xfId="14" applyFill="1" applyBorder="1" applyAlignment="1">
      <alignment horizontal="right" vertical="center" wrapText="1"/>
    </xf>
    <xf numFmtId="0" fontId="4" fillId="6" borderId="192" xfId="14" applyFill="1" applyBorder="1" applyAlignment="1">
      <alignment horizontal="right" vertical="center" wrapText="1" readingOrder="2"/>
    </xf>
    <xf numFmtId="165" fontId="4" fillId="6" borderId="193" xfId="14" applyNumberFormat="1" applyFill="1" applyBorder="1" applyAlignment="1">
      <alignment horizontal="right" vertical="center" shrinkToFit="1"/>
    </xf>
    <xf numFmtId="0" fontId="4" fillId="6" borderId="194" xfId="14" applyFill="1" applyBorder="1" applyAlignment="1">
      <alignment horizontal="right" vertical="center" wrapText="1"/>
    </xf>
    <xf numFmtId="165" fontId="82" fillId="6" borderId="196" xfId="14" applyNumberFormat="1" applyFont="1" applyFill="1" applyBorder="1" applyAlignment="1">
      <alignment horizontal="right" vertical="center" shrinkToFit="1"/>
    </xf>
    <xf numFmtId="0" fontId="55" fillId="5" borderId="5" xfId="14" applyFont="1" applyFill="1" applyBorder="1" applyAlignment="1">
      <alignment horizontal="center" vertical="center"/>
    </xf>
    <xf numFmtId="0" fontId="55" fillId="5" borderId="6" xfId="14" applyFont="1" applyFill="1" applyBorder="1" applyAlignment="1">
      <alignment horizontal="center" vertical="center"/>
    </xf>
    <xf numFmtId="0" fontId="114" fillId="6" borderId="197" xfId="14" applyFont="1" applyFill="1" applyBorder="1" applyAlignment="1">
      <alignment horizontal="right" vertical="center"/>
    </xf>
    <xf numFmtId="0" fontId="4" fillId="6" borderId="189" xfId="14" applyFill="1" applyBorder="1" applyAlignment="1">
      <alignment horizontal="right" vertical="center" wrapText="1" readingOrder="2"/>
    </xf>
    <xf numFmtId="0" fontId="4" fillId="6" borderId="198" xfId="14" applyFill="1" applyBorder="1" applyAlignment="1">
      <alignment horizontal="right" vertical="center" wrapText="1"/>
    </xf>
    <xf numFmtId="39" fontId="82" fillId="6" borderId="188" xfId="14" applyNumberFormat="1" applyFont="1" applyFill="1" applyBorder="1" applyAlignment="1">
      <alignment horizontal="right" vertical="center" shrinkToFit="1"/>
    </xf>
    <xf numFmtId="0" fontId="35" fillId="6" borderId="195" xfId="14" applyFont="1" applyFill="1" applyBorder="1" applyAlignment="1">
      <alignment horizontal="right" vertical="center"/>
    </xf>
    <xf numFmtId="0" fontId="114" fillId="5" borderId="37" xfId="14" applyFont="1" applyFill="1" applyBorder="1" applyAlignment="1">
      <alignment horizontal="right" vertical="center"/>
    </xf>
    <xf numFmtId="0" fontId="4" fillId="5" borderId="6" xfId="14" applyFill="1" applyBorder="1" applyAlignment="1">
      <alignment horizontal="right" vertical="center"/>
    </xf>
    <xf numFmtId="0" fontId="4" fillId="6" borderId="180" xfId="14" applyFill="1" applyBorder="1" applyAlignment="1">
      <alignment horizontal="right" vertical="center" wrapText="1"/>
    </xf>
    <xf numFmtId="0" fontId="35" fillId="6" borderId="181" xfId="14" applyFont="1" applyFill="1" applyBorder="1" applyAlignment="1">
      <alignment horizontal="right" vertical="center" wrapText="1"/>
    </xf>
    <xf numFmtId="0" fontId="35" fillId="6" borderId="199" xfId="14" applyFont="1" applyFill="1" applyBorder="1" applyAlignment="1">
      <alignment horizontal="right" vertical="center" wrapText="1"/>
    </xf>
    <xf numFmtId="165" fontId="82" fillId="6" borderId="200" xfId="14" applyNumberFormat="1" applyFont="1" applyFill="1" applyBorder="1" applyAlignment="1">
      <alignment horizontal="right" vertical="center" shrinkToFit="1"/>
    </xf>
    <xf numFmtId="165" fontId="4" fillId="6" borderId="193" xfId="14" applyNumberFormat="1" applyFill="1" applyBorder="1" applyAlignment="1">
      <alignment horizontal="right" vertical="center" shrinkToFit="1" readingOrder="2"/>
    </xf>
    <xf numFmtId="0" fontId="35" fillId="5" borderId="6" xfId="14" applyFont="1" applyFill="1" applyBorder="1" applyAlignment="1">
      <alignment horizontal="right" vertical="center"/>
    </xf>
    <xf numFmtId="165" fontId="82" fillId="5" borderId="6" xfId="14" applyNumberFormat="1" applyFont="1" applyFill="1" applyBorder="1" applyAlignment="1">
      <alignment horizontal="right" vertical="center" shrinkToFit="1"/>
    </xf>
    <xf numFmtId="0" fontId="4" fillId="6" borderId="192" xfId="14" applyFill="1" applyBorder="1" applyAlignment="1">
      <alignment horizontal="right" vertical="center"/>
    </xf>
    <xf numFmtId="0" fontId="4" fillId="6" borderId="194" xfId="14" applyFill="1" applyBorder="1" applyAlignment="1">
      <alignment horizontal="right" vertical="center"/>
    </xf>
    <xf numFmtId="0" fontId="116" fillId="3" borderId="0" xfId="14" applyFont="1" applyFill="1" applyAlignment="1">
      <alignment horizontal="right" vertical="center"/>
    </xf>
    <xf numFmtId="165" fontId="82" fillId="3" borderId="0" xfId="14" applyNumberFormat="1" applyFont="1" applyFill="1" applyAlignment="1">
      <alignment horizontal="right" vertical="center" shrinkToFit="1"/>
    </xf>
    <xf numFmtId="0" fontId="4" fillId="3" borderId="147" xfId="14" applyFill="1" applyBorder="1" applyAlignment="1">
      <alignment horizontal="right" vertical="center"/>
    </xf>
    <xf numFmtId="0" fontId="114" fillId="2" borderId="25" xfId="14" applyFont="1" applyFill="1" applyBorder="1" applyAlignment="1">
      <alignment horizontal="right" vertical="center"/>
    </xf>
    <xf numFmtId="0" fontId="4" fillId="2" borderId="25" xfId="14" applyFill="1" applyBorder="1" applyAlignment="1">
      <alignment horizontal="right" vertical="center"/>
    </xf>
    <xf numFmtId="165" fontId="4" fillId="2" borderId="25" xfId="14" applyNumberFormat="1" applyFill="1" applyBorder="1" applyAlignment="1">
      <alignment horizontal="right" vertical="center" shrinkToFit="1"/>
    </xf>
    <xf numFmtId="0" fontId="116" fillId="2" borderId="25" xfId="14" applyFont="1" applyFill="1" applyBorder="1" applyAlignment="1">
      <alignment horizontal="right" vertical="center"/>
    </xf>
    <xf numFmtId="165" fontId="82" fillId="2" borderId="25" xfId="14" applyNumberFormat="1" applyFont="1" applyFill="1" applyBorder="1" applyAlignment="1">
      <alignment horizontal="right" vertical="center" shrinkToFit="1"/>
    </xf>
    <xf numFmtId="0" fontId="114" fillId="2" borderId="0" xfId="14" applyFont="1" applyFill="1" applyAlignment="1">
      <alignment horizontal="right" vertical="center"/>
    </xf>
    <xf numFmtId="165" fontId="4" fillId="2" borderId="0" xfId="14" applyNumberFormat="1" applyFill="1" applyAlignment="1">
      <alignment horizontal="right" vertical="center" shrinkToFit="1"/>
    </xf>
    <xf numFmtId="0" fontId="116" fillId="2" borderId="0" xfId="14" applyFont="1" applyFill="1" applyAlignment="1">
      <alignment horizontal="right" vertical="center"/>
    </xf>
    <xf numFmtId="165" fontId="82" fillId="2" borderId="0" xfId="14" applyNumberFormat="1" applyFont="1" applyFill="1" applyAlignment="1">
      <alignment horizontal="right" vertical="center" shrinkToFit="1"/>
    </xf>
    <xf numFmtId="0" fontId="35" fillId="2" borderId="0" xfId="14" applyFont="1" applyFill="1" applyAlignment="1">
      <alignment horizontal="right" vertical="center"/>
    </xf>
    <xf numFmtId="0" fontId="34" fillId="4" borderId="0" xfId="14" applyFont="1" applyFill="1" applyBorder="1" applyAlignment="1" applyProtection="1">
      <alignment horizontal="right" vertical="center" readingOrder="2"/>
    </xf>
    <xf numFmtId="0" fontId="4" fillId="4" borderId="0" xfId="14" applyFill="1" applyBorder="1" applyAlignment="1" applyProtection="1">
      <alignment horizontal="right" vertical="center" wrapText="1" readingOrder="2"/>
    </xf>
    <xf numFmtId="0" fontId="4" fillId="4" borderId="4" xfId="14" applyFill="1" applyBorder="1" applyAlignment="1" applyProtection="1">
      <alignment horizontal="right" vertical="center" wrapText="1" readingOrder="2"/>
    </xf>
    <xf numFmtId="0" fontId="58" fillId="4" borderId="0" xfId="14" applyFont="1" applyFill="1" applyBorder="1" applyAlignment="1" applyProtection="1">
      <alignment horizontal="right" vertical="center" readingOrder="2"/>
    </xf>
    <xf numFmtId="0" fontId="34" fillId="4" borderId="4" xfId="14" applyFont="1" applyFill="1" applyBorder="1" applyAlignment="1" applyProtection="1">
      <alignment horizontal="right" vertical="center" readingOrder="2"/>
    </xf>
    <xf numFmtId="0" fontId="97" fillId="3" borderId="0" xfId="14" applyFont="1" applyFill="1" applyBorder="1" applyAlignment="1" applyProtection="1">
      <alignment horizontal="right" vertical="center" readingOrder="2"/>
    </xf>
    <xf numFmtId="0" fontId="19" fillId="3" borderId="0" xfId="14" applyFont="1" applyFill="1" applyAlignment="1" applyProtection="1">
      <alignment horizontal="right" vertical="center" readingOrder="2"/>
    </xf>
    <xf numFmtId="0" fontId="47" fillId="6" borderId="53" xfId="14" applyFont="1" applyFill="1" applyBorder="1" applyAlignment="1" applyProtection="1">
      <alignment horizontal="right" vertical="center" readingOrder="2"/>
    </xf>
    <xf numFmtId="0" fontId="97" fillId="6" borderId="38" xfId="14" applyFont="1" applyFill="1" applyBorder="1" applyAlignment="1" applyProtection="1">
      <alignment horizontal="right" vertical="center" readingOrder="2"/>
    </xf>
    <xf numFmtId="0" fontId="19" fillId="6" borderId="38" xfId="14" applyFont="1" applyFill="1" applyBorder="1" applyAlignment="1" applyProtection="1">
      <alignment horizontal="right" vertical="center" readingOrder="2"/>
    </xf>
    <xf numFmtId="0" fontId="19" fillId="6" borderId="90" xfId="14" applyFont="1" applyFill="1" applyBorder="1" applyAlignment="1" applyProtection="1">
      <alignment horizontal="right" vertical="center" readingOrder="2"/>
    </xf>
    <xf numFmtId="0" fontId="117" fillId="6" borderId="8" xfId="14" applyFont="1" applyFill="1" applyBorder="1" applyAlignment="1" applyProtection="1">
      <alignment horizontal="right" vertical="center" readingOrder="2"/>
    </xf>
    <xf numFmtId="0" fontId="97" fillId="6" borderId="0" xfId="14" applyFont="1" applyFill="1" applyBorder="1" applyAlignment="1" applyProtection="1">
      <alignment horizontal="right" vertical="center" readingOrder="2"/>
    </xf>
    <xf numFmtId="0" fontId="19" fillId="6" borderId="0" xfId="14" applyFont="1" applyFill="1" applyBorder="1" applyAlignment="1" applyProtection="1">
      <alignment horizontal="right" vertical="center" readingOrder="2"/>
    </xf>
    <xf numFmtId="0" fontId="19" fillId="6" borderId="9" xfId="14" applyFont="1" applyFill="1" applyBorder="1" applyAlignment="1" applyProtection="1">
      <alignment horizontal="right" vertical="center" readingOrder="2"/>
    </xf>
    <xf numFmtId="0" fontId="46" fillId="6" borderId="8" xfId="32" applyFont="1" applyFill="1" applyBorder="1" applyAlignment="1" applyProtection="1">
      <alignment horizontal="right" vertical="center" readingOrder="2"/>
    </xf>
    <xf numFmtId="0" fontId="34" fillId="8" borderId="201" xfId="32" applyFont="1" applyFill="1" applyBorder="1" applyAlignment="1" applyProtection="1">
      <alignment horizontal="right" vertical="center" readingOrder="2"/>
      <protection locked="0"/>
    </xf>
    <xf numFmtId="187" fontId="34" fillId="8" borderId="202" xfId="32" applyNumberFormat="1" applyFont="1" applyFill="1" applyBorder="1" applyAlignment="1" applyProtection="1">
      <alignment horizontal="right" vertical="center" readingOrder="2"/>
      <protection locked="0"/>
    </xf>
    <xf numFmtId="0" fontId="46" fillId="6" borderId="8" xfId="32" applyFont="1" applyFill="1" applyBorder="1" applyAlignment="1" applyProtection="1">
      <alignment horizontal="right" vertical="center" readingOrder="2"/>
      <protection locked="0"/>
    </xf>
    <xf numFmtId="0" fontId="19" fillId="6" borderId="0" xfId="32" applyFont="1" applyFill="1" applyBorder="1" applyAlignment="1" applyProtection="1">
      <alignment horizontal="right" vertical="center" readingOrder="2"/>
    </xf>
    <xf numFmtId="172" fontId="19" fillId="6" borderId="0" xfId="32" applyNumberFormat="1" applyFont="1" applyFill="1" applyBorder="1" applyAlignment="1" applyProtection="1">
      <alignment horizontal="right" vertical="center" readingOrder="2"/>
    </xf>
    <xf numFmtId="0" fontId="47" fillId="6" borderId="8" xfId="14" applyFont="1" applyFill="1" applyBorder="1" applyAlignment="1" applyProtection="1">
      <alignment horizontal="right" vertical="center" readingOrder="2"/>
    </xf>
    <xf numFmtId="0" fontId="46" fillId="6" borderId="8" xfId="14" applyFont="1" applyFill="1" applyBorder="1" applyAlignment="1" applyProtection="1">
      <alignment horizontal="right" vertical="center" readingOrder="2"/>
    </xf>
    <xf numFmtId="0" fontId="56" fillId="6" borderId="0" xfId="14" applyFont="1" applyFill="1" applyBorder="1" applyAlignment="1" applyProtection="1">
      <alignment horizontal="right" vertical="center" readingOrder="2"/>
    </xf>
    <xf numFmtId="10" fontId="34" fillId="6" borderId="23" xfId="14" applyNumberFormat="1" applyFont="1" applyFill="1" applyBorder="1" applyAlignment="1" applyProtection="1">
      <alignment horizontal="right" vertical="center" readingOrder="2"/>
    </xf>
    <xf numFmtId="0" fontId="76" fillId="6" borderId="8" xfId="14" applyFont="1" applyFill="1" applyBorder="1" applyAlignment="1" applyProtection="1">
      <alignment horizontal="right" vertical="center" readingOrder="2"/>
    </xf>
    <xf numFmtId="10" fontId="34" fillId="6" borderId="0" xfId="14" applyNumberFormat="1" applyFont="1" applyFill="1" applyBorder="1" applyAlignment="1" applyProtection="1">
      <alignment horizontal="right" vertical="center" readingOrder="2"/>
    </xf>
    <xf numFmtId="0" fontId="46" fillId="6" borderId="37" xfId="14" applyFont="1" applyFill="1" applyBorder="1" applyAlignment="1" applyProtection="1">
      <alignment horizontal="right" vertical="center" readingOrder="2"/>
    </xf>
    <xf numFmtId="0" fontId="97" fillId="6" borderId="3" xfId="14" applyFont="1" applyFill="1" applyBorder="1" applyAlignment="1" applyProtection="1">
      <alignment horizontal="right" vertical="center" readingOrder="2"/>
    </xf>
    <xf numFmtId="0" fontId="68" fillId="3" borderId="0" xfId="14" applyFont="1" applyFill="1" applyAlignment="1" applyProtection="1">
      <alignment horizontal="right" vertical="center" readingOrder="2"/>
    </xf>
    <xf numFmtId="0" fontId="34" fillId="3" borderId="22" xfId="14" applyFont="1" applyFill="1" applyBorder="1" applyAlignment="1" applyProtection="1">
      <alignment horizontal="right" vertical="center" readingOrder="2"/>
    </xf>
    <xf numFmtId="0" fontId="68" fillId="3" borderId="22" xfId="14" applyFont="1" applyFill="1" applyBorder="1" applyAlignment="1" applyProtection="1">
      <alignment horizontal="right" vertical="center" readingOrder="2"/>
    </xf>
    <xf numFmtId="0" fontId="4" fillId="4" borderId="0" xfId="14" applyFill="1"/>
    <xf numFmtId="0" fontId="55" fillId="4" borderId="0" xfId="14" applyFont="1" applyFill="1" applyAlignment="1">
      <alignment horizontal="right" vertical="center"/>
    </xf>
    <xf numFmtId="0" fontId="4" fillId="4" borderId="0" xfId="14" applyFill="1" applyAlignment="1">
      <alignment horizontal="right" vertical="center"/>
    </xf>
    <xf numFmtId="0" fontId="4" fillId="2" borderId="2" xfId="14" applyFill="1" applyBorder="1"/>
    <xf numFmtId="0" fontId="4" fillId="2" borderId="0" xfId="14" applyFill="1"/>
    <xf numFmtId="0" fontId="4" fillId="3" borderId="0" xfId="14" applyFill="1"/>
    <xf numFmtId="165" fontId="4" fillId="8" borderId="10" xfId="14" applyNumberFormat="1" applyFill="1" applyBorder="1" applyAlignment="1" applyProtection="1">
      <alignment horizontal="right"/>
      <protection locked="0"/>
    </xf>
    <xf numFmtId="165" fontId="4" fillId="8" borderId="11" xfId="14" applyNumberFormat="1" applyFill="1" applyBorder="1" applyAlignment="1" applyProtection="1">
      <alignment horizontal="right"/>
      <protection locked="0"/>
    </xf>
    <xf numFmtId="165" fontId="4" fillId="8" borderId="23" xfId="14" applyNumberFormat="1" applyFill="1" applyBorder="1" applyAlignment="1" applyProtection="1">
      <alignment horizontal="right"/>
      <protection locked="0"/>
    </xf>
    <xf numFmtId="0" fontId="4" fillId="3" borderId="3" xfId="14" applyFill="1" applyBorder="1"/>
    <xf numFmtId="0" fontId="4" fillId="3" borderId="0" xfId="14" applyFill="1" applyAlignment="1">
      <alignment horizontal="center"/>
    </xf>
    <xf numFmtId="0" fontId="4" fillId="2" borderId="25" xfId="14" applyFill="1" applyBorder="1"/>
    <xf numFmtId="0" fontId="56" fillId="0" borderId="0" xfId="14" applyFont="1" applyAlignment="1" applyProtection="1">
      <alignment horizontal="right" vertical="center" readingOrder="2"/>
    </xf>
    <xf numFmtId="0" fontId="40" fillId="0" borderId="0" xfId="14" applyFont="1" applyAlignment="1" applyProtection="1">
      <alignment horizontal="right" vertical="center" readingOrder="2"/>
    </xf>
    <xf numFmtId="0" fontId="4" fillId="11" borderId="0" xfId="14" applyFill="1" applyAlignment="1" applyProtection="1">
      <alignment horizontal="right" vertical="center" readingOrder="2"/>
    </xf>
    <xf numFmtId="0" fontId="4" fillId="12" borderId="15" xfId="14" applyFill="1" applyBorder="1" applyAlignment="1" applyProtection="1">
      <alignment horizontal="right" vertical="center" readingOrder="2"/>
    </xf>
    <xf numFmtId="0" fontId="4" fillId="3" borderId="0" xfId="14" applyFill="1" applyAlignment="1" applyProtection="1">
      <alignment horizontal="right" vertical="center" wrapText="1" indent="1" readingOrder="2"/>
    </xf>
    <xf numFmtId="3" fontId="4" fillId="13" borderId="0" xfId="14" applyNumberFormat="1" applyFill="1" applyAlignment="1" applyProtection="1">
      <alignment horizontal="right" vertical="center" readingOrder="2"/>
    </xf>
    <xf numFmtId="0" fontId="4" fillId="3" borderId="0" xfId="14" applyFill="1" applyBorder="1" applyAlignment="1" applyProtection="1">
      <alignment horizontal="right" vertical="center" indent="1" readingOrder="2"/>
    </xf>
    <xf numFmtId="0" fontId="40" fillId="3" borderId="71" xfId="14" applyFont="1" applyFill="1" applyBorder="1" applyAlignment="1" applyProtection="1">
      <alignment horizontal="right" vertical="center" readingOrder="2"/>
    </xf>
    <xf numFmtId="0" fontId="40" fillId="3" borderId="0" xfId="14" applyFont="1" applyFill="1" applyAlignment="1" applyProtection="1">
      <alignment horizontal="right" vertical="center" wrapText="1" readingOrder="2"/>
    </xf>
    <xf numFmtId="0" fontId="4" fillId="2" borderId="2" xfId="14" applyFill="1" applyBorder="1" applyAlignment="1" applyProtection="1">
      <alignment horizontal="right" vertical="center" wrapText="1" readingOrder="2"/>
    </xf>
    <xf numFmtId="0" fontId="4" fillId="3" borderId="0" xfId="14" applyFill="1" applyAlignment="1" applyProtection="1">
      <alignment horizontal="right" vertical="center" indent="1" readingOrder="2"/>
    </xf>
    <xf numFmtId="165" fontId="4" fillId="8" borderId="203" xfId="14" applyNumberFormat="1" applyFill="1" applyBorder="1" applyAlignment="1" applyProtection="1">
      <alignment horizontal="right" vertical="center" shrinkToFit="1" readingOrder="2"/>
      <protection locked="0"/>
    </xf>
    <xf numFmtId="165" fontId="4" fillId="8" borderId="204" xfId="14" applyNumberFormat="1" applyFill="1" applyBorder="1" applyAlignment="1" applyProtection="1">
      <alignment horizontal="right" vertical="center" shrinkToFit="1" readingOrder="2"/>
      <protection locked="0"/>
    </xf>
    <xf numFmtId="165" fontId="10" fillId="2" borderId="0" xfId="19" applyNumberFormat="1" applyFont="1" applyFill="1" applyBorder="1" applyAlignment="1" applyProtection="1">
      <alignment horizontal="right" vertical="center" readingOrder="2"/>
    </xf>
    <xf numFmtId="165" fontId="4" fillId="8" borderId="205" xfId="14" applyNumberFormat="1" applyFill="1" applyBorder="1" applyAlignment="1" applyProtection="1">
      <alignment horizontal="right" vertical="center" shrinkToFit="1" readingOrder="2"/>
      <protection locked="0"/>
    </xf>
    <xf numFmtId="165" fontId="4" fillId="7" borderId="205" xfId="14" applyNumberFormat="1" applyFill="1" applyBorder="1" applyAlignment="1" applyProtection="1">
      <alignment horizontal="right" vertical="center" shrinkToFit="1" readingOrder="2"/>
    </xf>
    <xf numFmtId="165" fontId="4" fillId="7" borderId="206" xfId="14" applyNumberFormat="1" applyFill="1" applyBorder="1" applyAlignment="1" applyProtection="1">
      <alignment horizontal="right" vertical="center" shrinkToFit="1" readingOrder="2"/>
    </xf>
    <xf numFmtId="165" fontId="4" fillId="8" borderId="207" xfId="14" applyNumberFormat="1" applyFill="1" applyBorder="1" applyAlignment="1" applyProtection="1">
      <alignment horizontal="right" vertical="center" shrinkToFit="1" readingOrder="2"/>
      <protection locked="0"/>
    </xf>
    <xf numFmtId="165" fontId="4" fillId="8" borderId="208" xfId="14" applyNumberFormat="1" applyFill="1" applyBorder="1" applyAlignment="1" applyProtection="1">
      <alignment horizontal="right" vertical="center" shrinkToFit="1" readingOrder="2"/>
      <protection locked="0"/>
    </xf>
    <xf numFmtId="165" fontId="4" fillId="9" borderId="209" xfId="14" applyNumberFormat="1" applyFill="1" applyBorder="1" applyAlignment="1" applyProtection="1">
      <alignment horizontal="right" vertical="center" shrinkToFit="1" readingOrder="2"/>
    </xf>
    <xf numFmtId="165" fontId="4" fillId="9" borderId="74" xfId="14" applyNumberFormat="1" applyFill="1" applyBorder="1" applyAlignment="1" applyProtection="1">
      <alignment horizontal="right" vertical="center" shrinkToFit="1" readingOrder="2"/>
    </xf>
    <xf numFmtId="165" fontId="4" fillId="12" borderId="15" xfId="14" applyNumberFormat="1" applyFill="1" applyBorder="1" applyAlignment="1" applyProtection="1">
      <alignment horizontal="right" vertical="center" readingOrder="2"/>
    </xf>
    <xf numFmtId="3" fontId="4" fillId="0" borderId="0" xfId="14" applyNumberFormat="1" applyFill="1" applyAlignment="1" applyProtection="1">
      <alignment horizontal="right" vertical="center" readingOrder="2"/>
    </xf>
    <xf numFmtId="3" fontId="40" fillId="0" borderId="0" xfId="14" applyNumberFormat="1" applyFont="1" applyFill="1" applyAlignment="1" applyProtection="1">
      <alignment horizontal="right" vertical="center" readingOrder="2"/>
    </xf>
    <xf numFmtId="0" fontId="40" fillId="0" borderId="0" xfId="14" applyFont="1" applyAlignment="1" applyProtection="1">
      <alignment horizontal="right" vertical="center" wrapText="1" readingOrder="2"/>
    </xf>
    <xf numFmtId="0" fontId="4" fillId="0" borderId="0" xfId="14" applyAlignment="1" applyProtection="1">
      <alignment horizontal="right" vertical="center" wrapText="1" readingOrder="2"/>
    </xf>
    <xf numFmtId="0" fontId="97" fillId="3" borderId="0" xfId="14" applyFont="1" applyFill="1" applyAlignment="1" applyProtection="1">
      <alignment horizontal="right" vertical="center" readingOrder="2"/>
    </xf>
    <xf numFmtId="0" fontId="28" fillId="5" borderId="5" xfId="14" applyFont="1" applyFill="1" applyBorder="1" applyAlignment="1" applyProtection="1">
      <alignment horizontal="right" vertical="center" readingOrder="2"/>
    </xf>
    <xf numFmtId="0" fontId="28" fillId="5" borderId="6" xfId="14" applyFont="1" applyFill="1" applyBorder="1" applyAlignment="1" applyProtection="1">
      <alignment horizontal="right" vertical="center" readingOrder="2"/>
    </xf>
    <xf numFmtId="0" fontId="28" fillId="5" borderId="7" xfId="14" applyFont="1" applyFill="1" applyBorder="1" applyAlignment="1" applyProtection="1">
      <alignment horizontal="right" vertical="center" readingOrder="2"/>
    </xf>
    <xf numFmtId="0" fontId="119" fillId="3" borderId="0" xfId="14" applyFont="1" applyFill="1" applyAlignment="1" applyProtection="1">
      <alignment horizontal="right" vertical="center" readingOrder="2"/>
    </xf>
    <xf numFmtId="0" fontId="56" fillId="6" borderId="0" xfId="14" applyFont="1" applyFill="1" applyBorder="1" applyAlignment="1" applyProtection="1">
      <alignment horizontal="right" vertical="center" shrinkToFit="1" readingOrder="2"/>
    </xf>
    <xf numFmtId="0" fontId="56" fillId="6" borderId="9" xfId="14" applyFont="1" applyFill="1" applyBorder="1" applyAlignment="1" applyProtection="1">
      <alignment horizontal="right" vertical="center" shrinkToFit="1" readingOrder="2"/>
    </xf>
    <xf numFmtId="165" fontId="4" fillId="8" borderId="210" xfId="14" applyNumberFormat="1" applyFill="1" applyBorder="1" applyAlignment="1" applyProtection="1">
      <alignment horizontal="right" vertical="center" shrinkToFit="1" readingOrder="2"/>
      <protection locked="0"/>
    </xf>
    <xf numFmtId="165" fontId="4" fillId="8" borderId="57" xfId="14" applyNumberFormat="1" applyFill="1" applyBorder="1" applyAlignment="1" applyProtection="1">
      <alignment horizontal="right" vertical="center" shrinkToFit="1" readingOrder="2"/>
      <protection locked="0"/>
    </xf>
    <xf numFmtId="165" fontId="4" fillId="8" borderId="59" xfId="14" applyNumberFormat="1" applyFill="1" applyBorder="1" applyAlignment="1" applyProtection="1">
      <alignment horizontal="right" vertical="center" shrinkToFit="1" readingOrder="2"/>
      <protection locked="0"/>
    </xf>
    <xf numFmtId="165" fontId="4" fillId="9" borderId="75" xfId="14" applyNumberFormat="1" applyFill="1" applyBorder="1" applyAlignment="1" applyProtection="1">
      <alignment horizontal="right" vertical="center" shrinkToFit="1" readingOrder="2"/>
    </xf>
    <xf numFmtId="165" fontId="4" fillId="9" borderId="76" xfId="14" applyNumberFormat="1" applyFill="1" applyBorder="1" applyAlignment="1" applyProtection="1">
      <alignment horizontal="right" vertical="center" shrinkToFit="1" readingOrder="2"/>
    </xf>
    <xf numFmtId="0" fontId="4" fillId="6" borderId="3" xfId="14" applyFill="1" applyBorder="1" applyAlignment="1" applyProtection="1">
      <alignment horizontal="right" vertical="center" shrinkToFit="1" readingOrder="2"/>
    </xf>
    <xf numFmtId="0" fontId="4" fillId="6" borderId="21" xfId="14" applyFill="1" applyBorder="1" applyAlignment="1" applyProtection="1">
      <alignment horizontal="right" vertical="center" shrinkToFit="1" readingOrder="2"/>
    </xf>
    <xf numFmtId="0" fontId="4" fillId="3" borderId="0" xfId="14" applyFill="1" applyAlignment="1" applyProtection="1">
      <alignment horizontal="right" vertical="center" shrinkToFit="1" readingOrder="2"/>
    </xf>
    <xf numFmtId="0" fontId="59" fillId="5" borderId="6" xfId="14" applyFont="1" applyFill="1" applyBorder="1" applyAlignment="1" applyProtection="1">
      <alignment horizontal="right" vertical="center" readingOrder="2"/>
    </xf>
    <xf numFmtId="0" fontId="28" fillId="5" borderId="7" xfId="14" applyFont="1" applyFill="1" applyBorder="1" applyAlignment="1" applyProtection="1">
      <alignment horizontal="right" vertical="center" shrinkToFit="1" readingOrder="2"/>
    </xf>
    <xf numFmtId="0" fontId="28" fillId="6" borderId="53" xfId="14" applyFont="1" applyFill="1" applyBorder="1" applyAlignment="1" applyProtection="1">
      <alignment horizontal="right" vertical="center" readingOrder="2"/>
    </xf>
    <xf numFmtId="0" fontId="59" fillId="6" borderId="38" xfId="14" applyFont="1" applyFill="1" applyBorder="1" applyAlignment="1" applyProtection="1">
      <alignment horizontal="right" vertical="center" readingOrder="2"/>
    </xf>
    <xf numFmtId="0" fontId="28" fillId="6" borderId="38" xfId="14" applyFont="1" applyFill="1" applyBorder="1" applyAlignment="1" applyProtection="1">
      <alignment horizontal="right" vertical="center" shrinkToFit="1" readingOrder="2"/>
    </xf>
    <xf numFmtId="0" fontId="28" fillId="6" borderId="90" xfId="14" applyFont="1" applyFill="1" applyBorder="1" applyAlignment="1" applyProtection="1">
      <alignment horizontal="right" vertical="center" shrinkToFit="1" readingOrder="2"/>
    </xf>
    <xf numFmtId="165" fontId="4" fillId="8" borderId="211" xfId="14" applyNumberFormat="1" applyFill="1" applyBorder="1" applyAlignment="1" applyProtection="1">
      <alignment horizontal="right" vertical="center" shrinkToFit="1" readingOrder="2"/>
      <protection locked="0"/>
    </xf>
    <xf numFmtId="165" fontId="4" fillId="8" borderId="212" xfId="14" applyNumberFormat="1" applyFill="1" applyBorder="1" applyAlignment="1" applyProtection="1">
      <alignment horizontal="right" vertical="center" shrinkToFit="1" readingOrder="2"/>
      <protection locked="0"/>
    </xf>
    <xf numFmtId="165" fontId="4" fillId="8" borderId="213" xfId="14" applyNumberFormat="1" applyFill="1" applyBorder="1" applyAlignment="1" applyProtection="1">
      <alignment horizontal="right" vertical="center" shrinkToFit="1" readingOrder="2"/>
      <protection locked="0"/>
    </xf>
    <xf numFmtId="0" fontId="28" fillId="6" borderId="38" xfId="14" applyFont="1" applyFill="1" applyBorder="1" applyAlignment="1" applyProtection="1">
      <alignment horizontal="right" vertical="center" readingOrder="2"/>
    </xf>
    <xf numFmtId="0" fontId="4" fillId="6" borderId="8" xfId="14" applyFill="1" applyBorder="1" applyAlignment="1" applyProtection="1">
      <alignment horizontal="right" vertical="center" readingOrder="2"/>
      <protection locked="0"/>
    </xf>
    <xf numFmtId="0" fontId="4" fillId="6" borderId="0" xfId="14" applyFill="1" applyBorder="1" applyAlignment="1" applyProtection="1">
      <alignment horizontal="right" vertical="center" readingOrder="2"/>
      <protection locked="0"/>
    </xf>
    <xf numFmtId="0" fontId="56" fillId="2" borderId="0" xfId="14" applyFont="1" applyFill="1" applyAlignment="1" applyProtection="1">
      <alignment horizontal="right" vertical="center" readingOrder="2"/>
    </xf>
    <xf numFmtId="0" fontId="34" fillId="4" borderId="0" xfId="14" applyFont="1" applyFill="1" applyAlignment="1">
      <alignment horizontal="right" vertical="center" readingOrder="2"/>
    </xf>
    <xf numFmtId="0" fontId="57" fillId="4" borderId="0" xfId="14" applyFont="1" applyFill="1" applyBorder="1" applyAlignment="1">
      <alignment horizontal="left" vertical="center" readingOrder="2"/>
    </xf>
    <xf numFmtId="0" fontId="4" fillId="4" borderId="4" xfId="14" applyFill="1" applyBorder="1" applyAlignment="1">
      <alignment horizontal="right" vertical="center" readingOrder="2"/>
    </xf>
    <xf numFmtId="0" fontId="34" fillId="2" borderId="2" xfId="14" applyFont="1" applyFill="1" applyBorder="1" applyAlignment="1">
      <alignment horizontal="right" vertical="center" readingOrder="2"/>
    </xf>
    <xf numFmtId="0" fontId="57" fillId="3" borderId="0" xfId="14" applyFont="1" applyFill="1" applyBorder="1" applyAlignment="1">
      <alignment horizontal="left" vertical="center" readingOrder="2"/>
    </xf>
    <xf numFmtId="0" fontId="55" fillId="3" borderId="0" xfId="14" applyFont="1" applyFill="1" applyAlignment="1">
      <alignment horizontal="right" vertical="center"/>
    </xf>
    <xf numFmtId="0" fontId="4" fillId="3" borderId="0" xfId="14" applyFill="1" applyBorder="1" applyAlignment="1">
      <alignment horizontal="right" vertical="center" readingOrder="2"/>
    </xf>
    <xf numFmtId="0" fontId="40" fillId="3" borderId="0" xfId="14" applyFont="1" applyFill="1" applyAlignment="1">
      <alignment horizontal="right" vertical="center" readingOrder="2"/>
    </xf>
    <xf numFmtId="0" fontId="57" fillId="3" borderId="0" xfId="14" applyFont="1" applyFill="1" applyAlignment="1">
      <alignment horizontal="right" vertical="center" readingOrder="2"/>
    </xf>
    <xf numFmtId="0" fontId="28" fillId="5" borderId="5" xfId="14" applyFont="1" applyFill="1" applyBorder="1" applyAlignment="1" applyProtection="1">
      <alignment horizontal="right" vertical="center" wrapText="1" readingOrder="2"/>
      <protection hidden="1"/>
    </xf>
    <xf numFmtId="0" fontId="28" fillId="5" borderId="6" xfId="14" applyFont="1" applyFill="1" applyBorder="1" applyAlignment="1" applyProtection="1">
      <alignment horizontal="right" vertical="center" wrapText="1" readingOrder="2"/>
      <protection hidden="1"/>
    </xf>
    <xf numFmtId="0" fontId="28" fillId="5" borderId="7" xfId="14" applyFont="1" applyFill="1" applyBorder="1" applyAlignment="1">
      <alignment horizontal="right" vertical="center" readingOrder="2"/>
    </xf>
    <xf numFmtId="0" fontId="28" fillId="3" borderId="0" xfId="14" applyFont="1" applyFill="1" applyAlignment="1">
      <alignment horizontal="right" vertical="center" readingOrder="2"/>
    </xf>
    <xf numFmtId="0" fontId="28" fillId="6" borderId="8" xfId="14" applyFont="1" applyFill="1" applyBorder="1" applyAlignment="1" applyProtection="1">
      <alignment horizontal="right" vertical="center" wrapText="1" readingOrder="2"/>
      <protection hidden="1"/>
    </xf>
    <xf numFmtId="0" fontId="28" fillId="6" borderId="0" xfId="14" applyFont="1" applyFill="1" applyBorder="1" applyAlignment="1" applyProtection="1">
      <alignment horizontal="right" vertical="center" wrapText="1" readingOrder="2"/>
      <protection hidden="1"/>
    </xf>
    <xf numFmtId="0" fontId="28" fillId="6" borderId="0" xfId="14" applyFont="1" applyFill="1" applyAlignment="1">
      <alignment horizontal="right" vertical="center" readingOrder="2"/>
    </xf>
    <xf numFmtId="0" fontId="28" fillId="6" borderId="9" xfId="14" applyFont="1" applyFill="1" applyBorder="1" applyAlignment="1">
      <alignment horizontal="right" vertical="center" readingOrder="2"/>
    </xf>
    <xf numFmtId="0" fontId="46" fillId="6" borderId="8" xfId="14" applyFont="1" applyFill="1" applyBorder="1" applyAlignment="1" applyProtection="1">
      <alignment horizontal="right" vertical="center" readingOrder="2"/>
      <protection hidden="1"/>
    </xf>
    <xf numFmtId="0" fontId="68" fillId="6" borderId="0" xfId="14" applyFont="1" applyFill="1" applyBorder="1" applyAlignment="1" applyProtection="1">
      <alignment horizontal="right" vertical="center" readingOrder="2"/>
      <protection hidden="1"/>
    </xf>
    <xf numFmtId="165" fontId="34" fillId="8" borderId="71" xfId="14" applyNumberFormat="1" applyFont="1" applyFill="1" applyBorder="1" applyAlignment="1" applyProtection="1">
      <alignment horizontal="right" vertical="center" shrinkToFit="1" readingOrder="2"/>
      <protection locked="0"/>
    </xf>
    <xf numFmtId="0" fontId="34" fillId="6" borderId="9" xfId="14" applyFont="1" applyFill="1" applyBorder="1" applyAlignment="1">
      <alignment horizontal="right" vertical="center" readingOrder="2"/>
    </xf>
    <xf numFmtId="165" fontId="34" fillId="7" borderId="75" xfId="14" applyNumberFormat="1" applyFont="1" applyFill="1" applyBorder="1" applyAlignment="1" applyProtection="1">
      <alignment horizontal="right" vertical="center" shrinkToFit="1" readingOrder="2"/>
    </xf>
    <xf numFmtId="165" fontId="34" fillId="7" borderId="74" xfId="14" applyNumberFormat="1" applyFont="1" applyFill="1" applyBorder="1" applyAlignment="1" applyProtection="1">
      <alignment horizontal="right" vertical="center" shrinkToFit="1" readingOrder="2"/>
    </xf>
    <xf numFmtId="0" fontId="48" fillId="6" borderId="8" xfId="14" applyFont="1" applyFill="1" applyBorder="1" applyAlignment="1" applyProtection="1">
      <alignment horizontal="right" vertical="center" readingOrder="2"/>
      <protection hidden="1"/>
    </xf>
    <xf numFmtId="0" fontId="28" fillId="6" borderId="0" xfId="14" applyFont="1" applyFill="1" applyBorder="1" applyAlignment="1" applyProtection="1">
      <alignment horizontal="right" vertical="center" readingOrder="2"/>
      <protection hidden="1"/>
    </xf>
    <xf numFmtId="0" fontId="46" fillId="6" borderId="8" xfId="14" applyFont="1" applyFill="1" applyBorder="1" applyAlignment="1">
      <alignment horizontal="right" vertical="center" readingOrder="2"/>
    </xf>
    <xf numFmtId="0" fontId="68" fillId="6" borderId="0" xfId="14" applyFont="1" applyFill="1" applyAlignment="1">
      <alignment horizontal="right" vertical="center" readingOrder="2"/>
    </xf>
    <xf numFmtId="165" fontId="34" fillId="6" borderId="0" xfId="14" applyNumberFormat="1" applyFont="1" applyFill="1" applyAlignment="1" applyProtection="1">
      <alignment horizontal="right" vertical="center" shrinkToFit="1" readingOrder="2"/>
    </xf>
    <xf numFmtId="165" fontId="34" fillId="8" borderId="128" xfId="14" applyNumberFormat="1" applyFont="1" applyFill="1" applyBorder="1" applyAlignment="1" applyProtection="1">
      <alignment horizontal="right" vertical="center" shrinkToFit="1" readingOrder="2"/>
      <protection locked="0"/>
    </xf>
    <xf numFmtId="0" fontId="34" fillId="6" borderId="0" xfId="14" applyFont="1" applyFill="1" applyAlignment="1">
      <alignment horizontal="right" vertical="center" readingOrder="2"/>
    </xf>
    <xf numFmtId="0" fontId="46" fillId="6" borderId="8" xfId="14" applyFont="1" applyFill="1" applyBorder="1" applyAlignment="1">
      <alignment horizontal="right" vertical="center" wrapText="1" readingOrder="2"/>
    </xf>
    <xf numFmtId="0" fontId="68" fillId="6" borderId="0" xfId="14" applyFont="1" applyFill="1" applyAlignment="1">
      <alignment horizontal="right" vertical="center" wrapText="1" readingOrder="2"/>
    </xf>
    <xf numFmtId="0" fontId="46" fillId="6" borderId="37" xfId="14" applyFont="1" applyFill="1" applyBorder="1" applyAlignment="1">
      <alignment horizontal="right" vertical="center" readingOrder="2"/>
    </xf>
    <xf numFmtId="0" fontId="68" fillId="6" borderId="3" xfId="14" applyFont="1" applyFill="1" applyBorder="1" applyAlignment="1">
      <alignment horizontal="right" vertical="center" readingOrder="2"/>
    </xf>
    <xf numFmtId="0" fontId="34" fillId="6" borderId="3" xfId="14" applyFont="1" applyFill="1" applyBorder="1" applyAlignment="1">
      <alignment horizontal="right" vertical="center" readingOrder="2"/>
    </xf>
    <xf numFmtId="0" fontId="34" fillId="6" borderId="21" xfId="14" applyFont="1" applyFill="1" applyBorder="1" applyAlignment="1">
      <alignment horizontal="right" vertical="center" readingOrder="2"/>
    </xf>
    <xf numFmtId="0" fontId="68" fillId="3" borderId="0" xfId="14" applyFont="1" applyFill="1" applyAlignment="1">
      <alignment horizontal="right" vertical="center" readingOrder="2"/>
    </xf>
    <xf numFmtId="0" fontId="34" fillId="3" borderId="22" xfId="14" applyFont="1" applyFill="1" applyBorder="1" applyAlignment="1">
      <alignment horizontal="right" vertical="center" readingOrder="2"/>
    </xf>
    <xf numFmtId="0" fontId="34" fillId="2" borderId="25" xfId="14" applyFont="1" applyFill="1" applyBorder="1" applyAlignment="1">
      <alignment horizontal="right" vertical="center" readingOrder="2"/>
    </xf>
    <xf numFmtId="0" fontId="18" fillId="3" borderId="0" xfId="14" applyFont="1" applyFill="1" applyBorder="1" applyAlignment="1" applyProtection="1">
      <alignment horizontal="center" vertical="center" readingOrder="2"/>
    </xf>
    <xf numFmtId="0" fontId="68" fillId="6" borderId="38" xfId="14" applyFont="1" applyFill="1" applyBorder="1" applyAlignment="1" applyProtection="1">
      <alignment horizontal="right" vertical="center" readingOrder="2"/>
    </xf>
    <xf numFmtId="0" fontId="68" fillId="6" borderId="90" xfId="14" applyFont="1" applyFill="1" applyBorder="1" applyAlignment="1" applyProtection="1">
      <alignment horizontal="right" vertical="center" readingOrder="2"/>
    </xf>
    <xf numFmtId="165" fontId="4" fillId="8" borderId="71" xfId="14" applyNumberFormat="1" applyFill="1" applyBorder="1" applyAlignment="1" applyProtection="1">
      <alignment horizontal="right" vertical="center" shrinkToFit="1" readingOrder="2"/>
      <protection locked="0"/>
    </xf>
    <xf numFmtId="0" fontId="4" fillId="6" borderId="8" xfId="14" applyFill="1" applyBorder="1" applyAlignment="1" applyProtection="1">
      <alignment horizontal="right" vertical="center" wrapText="1" readingOrder="2"/>
      <protection locked="0"/>
    </xf>
    <xf numFmtId="0" fontId="4" fillId="6" borderId="37" xfId="14" applyFill="1" applyBorder="1" applyAlignment="1" applyProtection="1">
      <alignment horizontal="right" vertical="center" readingOrder="2"/>
    </xf>
    <xf numFmtId="0" fontId="4" fillId="6" borderId="53" xfId="14" applyFill="1" applyBorder="1" applyAlignment="1" applyProtection="1">
      <alignment horizontal="right" vertical="center" readingOrder="2"/>
    </xf>
    <xf numFmtId="0" fontId="28" fillId="6" borderId="8" xfId="14" applyFont="1" applyFill="1" applyBorder="1" applyAlignment="1" applyProtection="1">
      <alignment horizontal="right" vertical="center" readingOrder="2"/>
    </xf>
    <xf numFmtId="0" fontId="28" fillId="6" borderId="142" xfId="14" applyFont="1" applyFill="1" applyBorder="1" applyAlignment="1" applyProtection="1">
      <alignment horizontal="right" vertical="center" readingOrder="2"/>
    </xf>
    <xf numFmtId="165" fontId="4" fillId="8" borderId="73" xfId="14" applyNumberFormat="1" applyFill="1" applyBorder="1" applyAlignment="1" applyProtection="1">
      <alignment horizontal="right" vertical="center" shrinkToFit="1" readingOrder="2"/>
      <protection locked="0"/>
    </xf>
    <xf numFmtId="0" fontId="68" fillId="6" borderId="53" xfId="14" applyFont="1" applyFill="1" applyBorder="1" applyAlignment="1" applyProtection="1">
      <alignment horizontal="right" vertical="center" readingOrder="2"/>
    </xf>
    <xf numFmtId="0" fontId="28" fillId="5" borderId="77" xfId="14" applyFont="1" applyFill="1" applyBorder="1" applyAlignment="1" applyProtection="1">
      <alignment horizontal="right" vertical="center" wrapText="1" readingOrder="2"/>
    </xf>
    <xf numFmtId="0" fontId="28" fillId="5" borderId="78" xfId="14" applyFont="1" applyFill="1" applyBorder="1" applyAlignment="1" applyProtection="1">
      <alignment horizontal="right" vertical="center" wrapText="1" readingOrder="2"/>
    </xf>
    <xf numFmtId="0" fontId="95" fillId="6" borderId="0" xfId="14" applyFont="1" applyFill="1" applyBorder="1" applyAlignment="1" applyProtection="1">
      <alignment horizontal="right" vertical="center" readingOrder="2"/>
    </xf>
    <xf numFmtId="4" fontId="32" fillId="8" borderId="71" xfId="30" applyNumberFormat="1" applyFont="1" applyFill="1" applyBorder="1" applyAlignment="1" applyProtection="1">
      <alignment horizontal="right" vertical="center" shrinkToFit="1" readingOrder="2"/>
      <protection locked="0"/>
    </xf>
    <xf numFmtId="165" fontId="32" fillId="8" borderId="71" xfId="30" applyNumberFormat="1" applyFont="1" applyFill="1" applyBorder="1" applyAlignment="1" applyProtection="1">
      <alignment horizontal="right" vertical="center" shrinkToFit="1" readingOrder="2"/>
      <protection locked="0"/>
    </xf>
    <xf numFmtId="165" fontId="32" fillId="8" borderId="83" xfId="30" applyNumberFormat="1" applyFont="1" applyFill="1" applyBorder="1" applyAlignment="1" applyProtection="1">
      <alignment horizontal="right" vertical="center" shrinkToFit="1" readingOrder="2"/>
      <protection locked="0"/>
    </xf>
    <xf numFmtId="4" fontId="32" fillId="8" borderId="73" xfId="30" applyNumberFormat="1" applyFont="1" applyFill="1" applyBorder="1" applyAlignment="1" applyProtection="1">
      <alignment horizontal="right" vertical="center" shrinkToFit="1" readingOrder="2"/>
      <protection locked="0"/>
    </xf>
    <xf numFmtId="165" fontId="32" fillId="8" borderId="73" xfId="30" applyNumberFormat="1" applyFont="1" applyFill="1" applyBorder="1" applyAlignment="1" applyProtection="1">
      <alignment horizontal="right" vertical="center" shrinkToFit="1" readingOrder="2"/>
      <protection locked="0"/>
    </xf>
    <xf numFmtId="165" fontId="32" fillId="8" borderId="102" xfId="30" applyNumberFormat="1" applyFont="1" applyFill="1" applyBorder="1" applyAlignment="1" applyProtection="1">
      <alignment horizontal="right" vertical="center" shrinkToFit="1" readingOrder="2"/>
      <protection locked="0"/>
    </xf>
    <xf numFmtId="0" fontId="40" fillId="6" borderId="8" xfId="14" applyFont="1" applyFill="1" applyBorder="1" applyAlignment="1" applyProtection="1">
      <alignment horizontal="right" vertical="center" readingOrder="2"/>
    </xf>
    <xf numFmtId="4" fontId="32" fillId="9" borderId="93" xfId="30" applyNumberFormat="1" applyFont="1" applyFill="1" applyBorder="1" applyAlignment="1" applyProtection="1">
      <alignment horizontal="right" vertical="center" shrinkToFit="1" readingOrder="2"/>
    </xf>
    <xf numFmtId="165" fontId="32" fillId="9" borderId="106" xfId="30" applyNumberFormat="1" applyFont="1" applyFill="1" applyBorder="1" applyAlignment="1" applyProtection="1">
      <alignment horizontal="right" vertical="center" shrinkToFit="1" readingOrder="2"/>
    </xf>
    <xf numFmtId="4" fontId="32" fillId="8" borderId="69" xfId="30" applyNumberFormat="1" applyFont="1" applyFill="1" applyBorder="1" applyAlignment="1" applyProtection="1">
      <alignment horizontal="right" vertical="center" shrinkToFit="1" readingOrder="2"/>
      <protection locked="0"/>
    </xf>
    <xf numFmtId="165" fontId="32" fillId="8" borderId="69" xfId="30" applyNumberFormat="1" applyFont="1" applyFill="1" applyBorder="1" applyAlignment="1" applyProtection="1">
      <alignment horizontal="right" vertical="center" shrinkToFit="1" readingOrder="2"/>
      <protection locked="0"/>
    </xf>
    <xf numFmtId="165" fontId="32" fillId="8" borderId="101" xfId="30" applyNumberFormat="1" applyFont="1" applyFill="1" applyBorder="1" applyAlignment="1" applyProtection="1">
      <alignment horizontal="right" vertical="center" shrinkToFit="1" readingOrder="2"/>
      <protection locked="0"/>
    </xf>
    <xf numFmtId="4" fontId="32" fillId="8" borderId="71" xfId="14" applyNumberFormat="1" applyFont="1" applyFill="1" applyBorder="1" applyAlignment="1" applyProtection="1">
      <alignment horizontal="right" vertical="center" shrinkToFit="1" readingOrder="2"/>
      <protection locked="0"/>
    </xf>
    <xf numFmtId="4" fontId="32" fillId="9" borderId="75" xfId="14" applyNumberFormat="1" applyFont="1" applyFill="1" applyBorder="1" applyAlignment="1" applyProtection="1">
      <alignment horizontal="right" vertical="center" shrinkToFit="1" readingOrder="2"/>
    </xf>
    <xf numFmtId="4" fontId="4" fillId="7" borderId="69" xfId="14" applyNumberFormat="1" applyFill="1" applyBorder="1" applyAlignment="1" applyProtection="1">
      <alignment horizontal="right" vertical="center" shrinkToFit="1" readingOrder="2"/>
    </xf>
    <xf numFmtId="165" fontId="4" fillId="7" borderId="69" xfId="14" applyNumberFormat="1" applyFill="1" applyBorder="1" applyAlignment="1" applyProtection="1">
      <alignment horizontal="right" vertical="center" shrinkToFit="1" readingOrder="2"/>
    </xf>
    <xf numFmtId="165" fontId="4" fillId="7" borderId="101" xfId="14" applyNumberFormat="1" applyFill="1" applyBorder="1" applyAlignment="1" applyProtection="1">
      <alignment horizontal="right" vertical="center" shrinkToFit="1" readingOrder="2"/>
    </xf>
    <xf numFmtId="0" fontId="4" fillId="3" borderId="25" xfId="14" applyFill="1" applyBorder="1" applyProtection="1"/>
    <xf numFmtId="0" fontId="4" fillId="3" borderId="214" xfId="14" applyFill="1" applyBorder="1" applyProtection="1"/>
    <xf numFmtId="0" fontId="4" fillId="14" borderId="2" xfId="14" applyFill="1" applyBorder="1" applyProtection="1"/>
    <xf numFmtId="0" fontId="4" fillId="14" borderId="0" xfId="14" applyFill="1" applyProtection="1"/>
    <xf numFmtId="0" fontId="88" fillId="3" borderId="0" xfId="14" applyFont="1" applyFill="1" applyProtection="1"/>
    <xf numFmtId="0" fontId="4" fillId="3" borderId="0" xfId="14" applyFill="1" applyProtection="1"/>
    <xf numFmtId="0" fontId="55" fillId="3" borderId="0" xfId="14" applyFont="1" applyFill="1" applyAlignment="1" applyProtection="1">
      <alignment horizontal="right"/>
    </xf>
    <xf numFmtId="0" fontId="55" fillId="3" borderId="4" xfId="14" applyFont="1" applyFill="1" applyBorder="1" applyAlignment="1" applyProtection="1">
      <alignment horizontal="right"/>
    </xf>
    <xf numFmtId="0" fontId="4" fillId="6" borderId="53" xfId="14" applyFill="1" applyBorder="1" applyProtection="1"/>
    <xf numFmtId="0" fontId="4" fillId="6" borderId="38" xfId="14" applyFill="1" applyBorder="1" applyProtection="1"/>
    <xf numFmtId="0" fontId="4" fillId="6" borderId="90" xfId="14" applyFill="1" applyBorder="1" applyProtection="1"/>
    <xf numFmtId="0" fontId="4" fillId="6" borderId="8" xfId="14" applyFill="1" applyBorder="1" applyProtection="1"/>
    <xf numFmtId="0" fontId="4" fillId="6" borderId="0" xfId="14" applyFill="1" applyBorder="1" applyProtection="1"/>
    <xf numFmtId="0" fontId="88" fillId="6" borderId="0" xfId="14" applyFont="1" applyFill="1" applyBorder="1" applyProtection="1"/>
    <xf numFmtId="0" fontId="4" fillId="6" borderId="9" xfId="14" applyFill="1" applyBorder="1" applyProtection="1"/>
    <xf numFmtId="0" fontId="32" fillId="6" borderId="8" xfId="14" applyFont="1" applyFill="1" applyBorder="1" applyProtection="1"/>
    <xf numFmtId="0" fontId="32" fillId="6" borderId="0" xfId="14" applyFont="1" applyFill="1" applyBorder="1" applyProtection="1"/>
    <xf numFmtId="0" fontId="4" fillId="6" borderId="18" xfId="14" applyNumberFormat="1" applyFill="1" applyBorder="1" applyAlignment="1" applyProtection="1">
      <alignment horizontal="right" vertical="center"/>
      <protection locked="0"/>
    </xf>
    <xf numFmtId="0" fontId="4" fillId="6" borderId="0" xfId="14" applyFill="1" applyBorder="1" applyAlignment="1" applyProtection="1">
      <alignment horizontal="right" vertical="center"/>
    </xf>
    <xf numFmtId="0" fontId="4" fillId="6" borderId="18" xfId="14" applyFill="1" applyBorder="1" applyAlignment="1" applyProtection="1">
      <alignment horizontal="right" vertical="center"/>
      <protection locked="0"/>
    </xf>
    <xf numFmtId="0" fontId="4" fillId="6" borderId="37" xfId="14" applyFill="1" applyBorder="1" applyProtection="1"/>
    <xf numFmtId="0" fontId="4" fillId="6" borderId="3" xfId="14" applyFill="1" applyBorder="1" applyProtection="1"/>
    <xf numFmtId="0" fontId="4" fillId="6" borderId="21" xfId="14" applyFill="1" applyBorder="1" applyProtection="1"/>
    <xf numFmtId="0" fontId="4" fillId="14" borderId="25" xfId="14" applyFill="1" applyBorder="1" applyProtection="1"/>
    <xf numFmtId="0" fontId="88" fillId="4" borderId="0" xfId="14" applyFont="1" applyFill="1" applyAlignment="1">
      <alignment horizontal="right" vertical="center"/>
    </xf>
    <xf numFmtId="0" fontId="4" fillId="4" borderId="0" xfId="14" applyFill="1" applyBorder="1" applyAlignment="1">
      <alignment horizontal="right" vertical="center"/>
    </xf>
    <xf numFmtId="0" fontId="4" fillId="4" borderId="4" xfId="14" applyFill="1" applyBorder="1" applyAlignment="1">
      <alignment horizontal="right" vertical="center"/>
    </xf>
    <xf numFmtId="0" fontId="55" fillId="4" borderId="0" xfId="14" applyFont="1" applyFill="1" applyBorder="1" applyAlignment="1">
      <alignment horizontal="right" vertical="center"/>
    </xf>
    <xf numFmtId="0" fontId="55" fillId="4" borderId="4" xfId="14" applyFont="1" applyFill="1" applyBorder="1" applyAlignment="1">
      <alignment horizontal="right" vertical="center"/>
    </xf>
    <xf numFmtId="0" fontId="81" fillId="2" borderId="0" xfId="14" applyFont="1" applyFill="1" applyAlignment="1">
      <alignment horizontal="right" vertical="center"/>
    </xf>
    <xf numFmtId="0" fontId="7" fillId="3" borderId="0" xfId="11" applyFill="1" applyBorder="1" applyAlignment="1" applyProtection="1">
      <alignment horizontal="right" vertical="center"/>
    </xf>
    <xf numFmtId="0" fontId="32" fillId="3" borderId="0" xfId="14" applyFont="1" applyFill="1" applyBorder="1" applyAlignment="1">
      <alignment horizontal="right" vertical="center"/>
    </xf>
    <xf numFmtId="0" fontId="22" fillId="3" borderId="0" xfId="11" applyFont="1" applyFill="1" applyBorder="1" applyAlignment="1" applyProtection="1">
      <alignment horizontal="right" vertical="center"/>
    </xf>
    <xf numFmtId="0" fontId="37" fillId="5" borderId="86" xfId="11" applyFont="1" applyFill="1" applyBorder="1" applyAlignment="1" applyProtection="1">
      <alignment horizontal="center" vertical="center"/>
    </xf>
    <xf numFmtId="0" fontId="37" fillId="5" borderId="215" xfId="14" applyFont="1" applyFill="1" applyBorder="1" applyAlignment="1">
      <alignment horizontal="center" vertical="center"/>
    </xf>
    <xf numFmtId="0" fontId="120" fillId="2" borderId="0" xfId="14" applyFont="1" applyFill="1" applyAlignment="1">
      <alignment horizontal="right" vertical="center"/>
    </xf>
    <xf numFmtId="0" fontId="22" fillId="6" borderId="88" xfId="11" applyFont="1" applyFill="1" applyBorder="1" applyAlignment="1" applyProtection="1">
      <alignment horizontal="right" vertical="center"/>
    </xf>
    <xf numFmtId="0" fontId="32" fillId="6" borderId="88" xfId="14" applyFont="1" applyFill="1" applyBorder="1" applyAlignment="1">
      <alignment horizontal="right" vertical="center"/>
    </xf>
    <xf numFmtId="0" fontId="32" fillId="6" borderId="89" xfId="14" applyFont="1" applyFill="1" applyBorder="1" applyAlignment="1">
      <alignment horizontal="right" vertical="center"/>
    </xf>
    <xf numFmtId="0" fontId="95" fillId="3" borderId="0" xfId="14" applyFont="1" applyFill="1" applyBorder="1" applyAlignment="1">
      <alignment horizontal="right" vertical="center"/>
    </xf>
    <xf numFmtId="0" fontId="4" fillId="3" borderId="22" xfId="14" applyFill="1" applyBorder="1" applyAlignment="1">
      <alignment horizontal="right" vertical="center"/>
    </xf>
    <xf numFmtId="0" fontId="95" fillId="3" borderId="22" xfId="14" applyFont="1" applyFill="1" applyBorder="1" applyAlignment="1">
      <alignment horizontal="right" vertical="center"/>
    </xf>
    <xf numFmtId="0" fontId="95" fillId="2" borderId="0" xfId="14" applyFont="1" applyFill="1" applyBorder="1" applyAlignment="1">
      <alignment horizontal="right" vertical="center"/>
    </xf>
    <xf numFmtId="0" fontId="4" fillId="2" borderId="0" xfId="14" applyFill="1" applyBorder="1" applyAlignment="1">
      <alignment horizontal="right" vertical="center"/>
    </xf>
    <xf numFmtId="0" fontId="32" fillId="2" borderId="0" xfId="14" applyFont="1" applyFill="1" applyBorder="1" applyAlignment="1">
      <alignment horizontal="right" vertical="center"/>
    </xf>
    <xf numFmtId="0" fontId="4" fillId="2" borderId="216" xfId="14" applyFill="1" applyBorder="1"/>
    <xf numFmtId="0" fontId="55" fillId="4" borderId="0" xfId="14" applyFont="1" applyFill="1" applyBorder="1" applyAlignment="1">
      <alignment horizontal="center"/>
    </xf>
    <xf numFmtId="0" fontId="55" fillId="4" borderId="0" xfId="14" applyFont="1" applyFill="1" applyBorder="1"/>
    <xf numFmtId="0" fontId="40" fillId="3" borderId="0" xfId="14" applyFont="1" applyFill="1" applyBorder="1"/>
    <xf numFmtId="0" fontId="37" fillId="5" borderId="53" xfId="14" applyFont="1" applyFill="1" applyBorder="1"/>
    <xf numFmtId="0" fontId="37" fillId="5" borderId="38" xfId="14" applyFont="1" applyFill="1" applyBorder="1"/>
    <xf numFmtId="0" fontId="37" fillId="5" borderId="38" xfId="14" applyFont="1" applyFill="1" applyBorder="1" applyAlignment="1">
      <alignment horizontal="right" indent="1"/>
    </xf>
    <xf numFmtId="0" fontId="37" fillId="5" borderId="90" xfId="14" applyFont="1" applyFill="1" applyBorder="1"/>
    <xf numFmtId="0" fontId="67" fillId="3" borderId="0" xfId="14" applyFont="1" applyFill="1"/>
    <xf numFmtId="0" fontId="37" fillId="6" borderId="8" xfId="14" applyFont="1" applyFill="1" applyBorder="1"/>
    <xf numFmtId="0" fontId="37" fillId="6" borderId="0" xfId="14" applyFont="1" applyFill="1" applyBorder="1"/>
    <xf numFmtId="0" fontId="37" fillId="6" borderId="9" xfId="14" applyFont="1" applyFill="1" applyBorder="1"/>
    <xf numFmtId="0" fontId="4" fillId="6" borderId="8" xfId="14" applyFill="1" applyBorder="1"/>
    <xf numFmtId="0" fontId="4" fillId="6" borderId="1" xfId="15" applyFill="1" applyBorder="1"/>
    <xf numFmtId="0" fontId="4" fillId="6" borderId="0" xfId="15" applyFill="1" applyBorder="1" applyAlignment="1">
      <alignment horizontal="right" indent="1"/>
    </xf>
    <xf numFmtId="0" fontId="4" fillId="6" borderId="9" xfId="15" applyFont="1" applyFill="1" applyBorder="1"/>
    <xf numFmtId="0" fontId="34" fillId="8" borderId="1" xfId="15" applyFont="1" applyFill="1" applyBorder="1"/>
    <xf numFmtId="0" fontId="4" fillId="6" borderId="0" xfId="15" applyFont="1" applyFill="1" applyBorder="1" applyAlignment="1">
      <alignment horizontal="right" indent="1"/>
    </xf>
    <xf numFmtId="0" fontId="4" fillId="9" borderId="1" xfId="15" applyFill="1" applyBorder="1"/>
    <xf numFmtId="0" fontId="4" fillId="7" borderId="1" xfId="15" applyFill="1" applyBorder="1"/>
    <xf numFmtId="0" fontId="4" fillId="6" borderId="0" xfId="14" applyFill="1" applyBorder="1" applyAlignment="1">
      <alignment horizontal="right"/>
    </xf>
    <xf numFmtId="0" fontId="4" fillId="6" borderId="0" xfId="14" applyFill="1" applyBorder="1" applyAlignment="1">
      <alignment horizontal="right" vertical="top" readingOrder="2"/>
    </xf>
    <xf numFmtId="0" fontId="4" fillId="6" borderId="0" xfId="15" applyFont="1" applyFill="1" applyBorder="1" applyAlignment="1">
      <alignment horizontal="right" vertical="top" wrapText="1" indent="1"/>
    </xf>
    <xf numFmtId="0" fontId="4" fillId="6" borderId="9" xfId="15" applyFont="1" applyFill="1" applyBorder="1" applyAlignment="1">
      <alignment vertical="top"/>
    </xf>
    <xf numFmtId="0" fontId="4" fillId="6" borderId="37" xfId="14" applyFill="1" applyBorder="1"/>
    <xf numFmtId="0" fontId="4" fillId="6" borderId="3" xfId="14" applyFill="1" applyBorder="1"/>
    <xf numFmtId="0" fontId="4" fillId="6" borderId="21" xfId="14" applyFill="1" applyBorder="1"/>
    <xf numFmtId="0" fontId="4" fillId="2" borderId="217" xfId="14" applyFill="1" applyBorder="1"/>
    <xf numFmtId="0" fontId="51" fillId="0" borderId="0" xfId="14" applyFont="1"/>
    <xf numFmtId="0" fontId="30" fillId="6" borderId="37" xfId="19" applyFont="1" applyFill="1" applyBorder="1" applyAlignment="1" applyProtection="1">
      <alignment horizontal="right" vertical="center" shrinkToFit="1" readingOrder="2"/>
      <protection locked="0"/>
    </xf>
    <xf numFmtId="0" fontId="46" fillId="6" borderId="8" xfId="19" applyFont="1" applyFill="1" applyBorder="1" applyAlignment="1" applyProtection="1">
      <alignment horizontal="right" vertical="center" shrinkToFit="1" readingOrder="2"/>
      <protection locked="0"/>
    </xf>
    <xf numFmtId="0" fontId="35" fillId="3" borderId="0" xfId="14" applyFont="1" applyFill="1" applyAlignment="1" applyProtection="1">
      <alignment horizontal="right" vertical="center" readingOrder="2"/>
      <protection locked="0"/>
    </xf>
    <xf numFmtId="49" fontId="32" fillId="3" borderId="0" xfId="14" applyNumberFormat="1" applyFont="1" applyFill="1" applyAlignment="1" applyProtection="1">
      <alignment horizontal="right" vertical="center" readingOrder="2"/>
      <protection locked="0"/>
    </xf>
    <xf numFmtId="0" fontId="32" fillId="6" borderId="8" xfId="14" applyFont="1" applyFill="1" applyBorder="1" applyAlignment="1" applyProtection="1"/>
    <xf numFmtId="0" fontId="4" fillId="6" borderId="0" xfId="14" applyFill="1" applyBorder="1" applyAlignment="1" applyProtection="1">
      <alignment horizontal="right" vertical="center"/>
      <protection locked="0"/>
    </xf>
    <xf numFmtId="165" fontId="32" fillId="8" borderId="8" xfId="14" applyNumberFormat="1" applyFont="1" applyFill="1" applyBorder="1" applyAlignment="1" applyProtection="1">
      <alignment horizontal="right" vertical="center" shrinkToFit="1" readingOrder="2"/>
      <protection locked="0"/>
    </xf>
    <xf numFmtId="165" fontId="32" fillId="8" borderId="9" xfId="14" applyNumberFormat="1" applyFont="1" applyFill="1" applyBorder="1" applyAlignment="1" applyProtection="1">
      <alignment horizontal="right" vertical="center" shrinkToFit="1" readingOrder="2"/>
      <protection locked="0"/>
    </xf>
    <xf numFmtId="165" fontId="34" fillId="8" borderId="171" xfId="8" applyNumberFormat="1" applyFont="1" applyFill="1" applyBorder="1" applyAlignment="1" applyProtection="1">
      <alignment horizontal="right" vertical="center" shrinkToFit="1" readingOrder="2"/>
      <protection locked="0"/>
    </xf>
    <xf numFmtId="0" fontId="34" fillId="6" borderId="0" xfId="8" applyNumberFormat="1" applyFont="1" applyFill="1" applyBorder="1" applyAlignment="1" applyProtection="1">
      <alignment horizontal="right" vertical="center" readingOrder="2"/>
    </xf>
    <xf numFmtId="165" fontId="34" fillId="8" borderId="156" xfId="8" applyNumberFormat="1" applyFont="1" applyFill="1" applyBorder="1" applyAlignment="1" applyProtection="1">
      <alignment horizontal="right" vertical="center" shrinkToFit="1" readingOrder="2"/>
      <protection locked="0"/>
    </xf>
    <xf numFmtId="165" fontId="34" fillId="8" borderId="153" xfId="8" applyNumberFormat="1" applyFont="1" applyFill="1" applyBorder="1" applyAlignment="1" applyProtection="1">
      <alignment horizontal="right" vertical="center" shrinkToFit="1" readingOrder="2"/>
      <protection locked="0"/>
    </xf>
    <xf numFmtId="165" fontId="34" fillId="9" borderId="154" xfId="8" applyNumberFormat="1" applyFont="1" applyFill="1" applyBorder="1" applyAlignment="1" applyProtection="1">
      <alignment horizontal="right" vertical="center" shrinkToFit="1" readingOrder="2"/>
    </xf>
    <xf numFmtId="49" fontId="35" fillId="6" borderId="0" xfId="8" applyNumberFormat="1" applyFont="1" applyFill="1" applyBorder="1" applyAlignment="1" applyProtection="1">
      <alignment horizontal="right" vertical="center" readingOrder="2"/>
    </xf>
    <xf numFmtId="49" fontId="34" fillId="6" borderId="8" xfId="8" applyNumberFormat="1" applyFont="1" applyFill="1" applyBorder="1" applyAlignment="1" applyProtection="1">
      <alignment horizontal="right" vertical="center" readingOrder="2"/>
    </xf>
    <xf numFmtId="165" fontId="32" fillId="8" borderId="70" xfId="19" applyNumberFormat="1" applyFont="1" applyFill="1" applyBorder="1" applyAlignment="1" applyProtection="1">
      <alignment horizontal="right" vertical="center" shrinkToFit="1" readingOrder="2"/>
      <protection locked="0"/>
    </xf>
    <xf numFmtId="165" fontId="32" fillId="8" borderId="218" xfId="19" applyNumberFormat="1" applyFont="1" applyFill="1" applyBorder="1" applyAlignment="1" applyProtection="1">
      <alignment horizontal="right" vertical="center" shrinkToFit="1" readingOrder="2"/>
      <protection locked="0"/>
    </xf>
    <xf numFmtId="165" fontId="32" fillId="8" borderId="219" xfId="19" applyNumberFormat="1" applyFont="1" applyFill="1" applyBorder="1" applyAlignment="1" applyProtection="1">
      <alignment horizontal="right" vertical="center" shrinkToFit="1" readingOrder="2"/>
      <protection locked="0"/>
    </xf>
    <xf numFmtId="0" fontId="35" fillId="2" borderId="0" xfId="8" applyNumberFormat="1" applyFont="1" applyFill="1" applyBorder="1" applyAlignment="1" applyProtection="1">
      <alignment horizontal="right" vertical="center" readingOrder="2"/>
    </xf>
    <xf numFmtId="165" fontId="32" fillId="2" borderId="46" xfId="8" applyNumberFormat="1" applyFont="1" applyFill="1" applyBorder="1" applyAlignment="1" applyProtection="1">
      <alignment horizontal="right" vertical="center" shrinkToFit="1" readingOrder="2"/>
    </xf>
    <xf numFmtId="0" fontId="34" fillId="6" borderId="0" xfId="26" applyNumberFormat="1" applyFont="1" applyFill="1" applyBorder="1" applyAlignment="1" applyProtection="1">
      <alignment horizontal="right" vertical="center" readingOrder="2"/>
    </xf>
    <xf numFmtId="49" fontId="35" fillId="2" borderId="0" xfId="8" applyNumberFormat="1" applyFont="1" applyFill="1" applyBorder="1" applyAlignment="1" applyProtection="1">
      <alignment horizontal="right" vertical="center" readingOrder="2"/>
    </xf>
    <xf numFmtId="49" fontId="35" fillId="6" borderId="8" xfId="8" applyNumberFormat="1" applyFont="1" applyFill="1" applyBorder="1" applyAlignment="1" applyProtection="1">
      <alignment horizontal="right" vertical="center" readingOrder="2"/>
    </xf>
    <xf numFmtId="0" fontId="35" fillId="2" borderId="0" xfId="8" applyNumberFormat="1" applyFont="1" applyFill="1" applyBorder="1" applyAlignment="1" applyProtection="1">
      <alignment horizontal="right" vertical="center" shrinkToFit="1" readingOrder="2"/>
    </xf>
    <xf numFmtId="165" fontId="32" fillId="2" borderId="148" xfId="8" applyNumberFormat="1" applyFont="1" applyFill="1" applyBorder="1" applyAlignment="1" applyProtection="1">
      <alignment horizontal="right" vertical="center" shrinkToFit="1" readingOrder="2"/>
    </xf>
    <xf numFmtId="165" fontId="34" fillId="8" borderId="156" xfId="26" applyNumberFormat="1" applyFont="1" applyFill="1" applyBorder="1" applyAlignment="1" applyProtection="1">
      <alignment horizontal="right" vertical="center" shrinkToFit="1" readingOrder="2"/>
      <protection locked="0"/>
    </xf>
    <xf numFmtId="165" fontId="34" fillId="7" borderId="153" xfId="26" applyNumberFormat="1" applyFont="1" applyFill="1" applyBorder="1" applyAlignment="1" applyProtection="1">
      <alignment horizontal="right" vertical="center" shrinkToFit="1" readingOrder="2"/>
    </xf>
    <xf numFmtId="167" fontId="34" fillId="7" borderId="153" xfId="26" applyNumberFormat="1" applyFont="1" applyFill="1" applyBorder="1" applyAlignment="1" applyProtection="1">
      <alignment horizontal="right" vertical="center" shrinkToFit="1" readingOrder="2"/>
    </xf>
    <xf numFmtId="165" fontId="34" fillId="2" borderId="67" xfId="26" applyNumberFormat="1" applyFont="1" applyFill="1" applyBorder="1" applyAlignment="1" applyProtection="1">
      <alignment horizontal="right" vertical="center" readingOrder="2"/>
    </xf>
    <xf numFmtId="0" fontId="35" fillId="2" borderId="48" xfId="26" applyNumberFormat="1" applyFont="1" applyFill="1" applyBorder="1" applyAlignment="1" applyProtection="1">
      <alignment horizontal="right" vertical="center" shrinkToFit="1" readingOrder="2"/>
    </xf>
    <xf numFmtId="0" fontId="35" fillId="6" borderId="8" xfId="14" applyFont="1" applyFill="1" applyBorder="1" applyAlignment="1" applyProtection="1">
      <alignment horizontal="right" vertical="center" wrapText="1" readingOrder="2"/>
      <protection hidden="1"/>
    </xf>
    <xf numFmtId="0" fontId="28" fillId="5" borderId="6" xfId="14" applyFont="1" applyFill="1" applyBorder="1" applyAlignment="1">
      <alignment horizontal="center" vertical="center" readingOrder="2"/>
    </xf>
    <xf numFmtId="0" fontId="68" fillId="6" borderId="0" xfId="14" applyFont="1" applyFill="1" applyBorder="1" applyAlignment="1">
      <alignment horizontal="right" vertical="center" readingOrder="2"/>
    </xf>
    <xf numFmtId="0" fontId="34" fillId="6" borderId="0" xfId="14" applyFont="1" applyFill="1" applyBorder="1" applyAlignment="1">
      <alignment horizontal="right" vertical="center" readingOrder="2"/>
    </xf>
    <xf numFmtId="0" fontId="46" fillId="6" borderId="6" xfId="14" applyFont="1" applyFill="1" applyBorder="1" applyAlignment="1">
      <alignment horizontal="right" vertical="center" readingOrder="2"/>
    </xf>
    <xf numFmtId="0" fontId="34" fillId="6" borderId="6" xfId="14" applyFont="1" applyFill="1" applyBorder="1" applyAlignment="1">
      <alignment horizontal="right" vertical="center" readingOrder="2"/>
    </xf>
    <xf numFmtId="0" fontId="34" fillId="6" borderId="8" xfId="29" applyFont="1" applyFill="1" applyBorder="1" applyAlignment="1" applyProtection="1">
      <alignment horizontal="right" vertical="center" readingOrder="2"/>
      <protection locked="0"/>
    </xf>
    <xf numFmtId="0" fontId="40" fillId="6" borderId="8" xfId="24" applyFont="1" applyFill="1" applyBorder="1" applyAlignment="1" applyProtection="1">
      <alignment horizontal="right" vertical="center" readingOrder="2"/>
      <protection locked="0"/>
    </xf>
    <xf numFmtId="166" fontId="34" fillId="6" borderId="8" xfId="24" applyNumberFormat="1" applyFont="1" applyFill="1" applyBorder="1" applyAlignment="1" applyProtection="1">
      <alignment horizontal="right" vertical="center" readingOrder="2"/>
      <protection locked="0"/>
    </xf>
    <xf numFmtId="165" fontId="34" fillId="7" borderId="23" xfId="24" applyNumberFormat="1" applyFont="1" applyFill="1" applyBorder="1" applyAlignment="1" applyProtection="1">
      <alignment horizontal="right" vertical="center" readingOrder="2"/>
    </xf>
    <xf numFmtId="0" fontId="56" fillId="2" borderId="0" xfId="14" applyFont="1" applyFill="1" applyBorder="1" applyAlignment="1" applyProtection="1">
      <alignment horizontal="right" vertical="center" readingOrder="2"/>
    </xf>
    <xf numFmtId="49" fontId="34" fillId="6" borderId="8" xfId="24" applyNumberFormat="1" applyFont="1" applyFill="1" applyBorder="1" applyAlignment="1" applyProtection="1">
      <alignment horizontal="right" vertical="center" readingOrder="2"/>
      <protection locked="0"/>
    </xf>
    <xf numFmtId="0" fontId="37" fillId="5" borderId="5" xfId="14" applyFont="1" applyFill="1" applyBorder="1" applyAlignment="1" applyProtection="1">
      <alignment horizontal="right" vertical="center" wrapText="1" readingOrder="2"/>
    </xf>
    <xf numFmtId="0" fontId="4" fillId="6" borderId="8" xfId="14" applyFont="1" applyFill="1" applyBorder="1" applyAlignment="1" applyProtection="1">
      <alignment horizontal="right" vertical="center" wrapText="1" readingOrder="2"/>
    </xf>
    <xf numFmtId="165" fontId="34" fillId="7" borderId="156" xfId="27" applyNumberFormat="1" applyFont="1" applyFill="1" applyBorder="1" applyAlignment="1">
      <alignment horizontal="right" vertical="center" shrinkToFit="1" readingOrder="2"/>
    </xf>
    <xf numFmtId="165" fontId="32" fillId="2" borderId="44" xfId="27" applyNumberFormat="1" applyFont="1" applyFill="1" applyBorder="1" applyAlignment="1">
      <alignment horizontal="right" vertical="center" shrinkToFit="1" readingOrder="2"/>
    </xf>
    <xf numFmtId="0" fontId="4" fillId="6" borderId="8" xfId="14" applyFont="1" applyFill="1" applyBorder="1" applyAlignment="1" applyProtection="1">
      <alignment horizontal="right" vertical="center" readingOrder="2"/>
    </xf>
    <xf numFmtId="0" fontId="46" fillId="6" borderId="37" xfId="21" applyFont="1" applyFill="1" applyBorder="1" applyAlignment="1" applyProtection="1">
      <alignment horizontal="right" vertical="center" readingOrder="2"/>
      <protection locked="0"/>
    </xf>
    <xf numFmtId="165" fontId="4" fillId="7" borderId="210" xfId="14" applyNumberFormat="1" applyFill="1" applyBorder="1" applyAlignment="1" applyProtection="1">
      <alignment horizontal="right" vertical="center" shrinkToFit="1" readingOrder="2"/>
    </xf>
    <xf numFmtId="165" fontId="4" fillId="7" borderId="211" xfId="14" applyNumberFormat="1" applyFill="1" applyBorder="1" applyAlignment="1" applyProtection="1">
      <alignment horizontal="right" vertical="center" shrinkToFit="1" readingOrder="2"/>
    </xf>
    <xf numFmtId="165" fontId="4" fillId="7" borderId="10" xfId="14" applyNumberFormat="1" applyFill="1" applyBorder="1" applyAlignment="1" applyProtection="1">
      <alignment horizontal="right" vertical="center" shrinkToFit="1" readingOrder="2"/>
    </xf>
    <xf numFmtId="165" fontId="34" fillId="7" borderId="49" xfId="22" applyNumberFormat="1" applyFont="1" applyFill="1" applyBorder="1" applyAlignment="1" applyProtection="1">
      <alignment horizontal="right" vertical="center" shrinkToFit="1" readingOrder="2"/>
    </xf>
    <xf numFmtId="165" fontId="34" fillId="7" borderId="50" xfId="22" applyNumberFormat="1" applyFont="1" applyFill="1" applyBorder="1" applyAlignment="1" applyProtection="1">
      <alignment horizontal="right" vertical="center" shrinkToFit="1" readingOrder="2"/>
    </xf>
    <xf numFmtId="165" fontId="34" fillId="7" borderId="51" xfId="22" applyNumberFormat="1" applyFont="1" applyFill="1" applyBorder="1" applyAlignment="1" applyProtection="1">
      <alignment horizontal="right" vertical="center" shrinkToFit="1" readingOrder="2"/>
    </xf>
    <xf numFmtId="0" fontId="34" fillId="7" borderId="49" xfId="22" applyFont="1" applyFill="1" applyBorder="1" applyAlignment="1" applyProtection="1">
      <alignment horizontal="right" vertical="center" readingOrder="2"/>
    </xf>
    <xf numFmtId="0" fontId="34" fillId="7" borderId="50" xfId="22" applyFont="1" applyFill="1" applyBorder="1" applyAlignment="1" applyProtection="1">
      <alignment horizontal="right" vertical="center" readingOrder="2"/>
    </xf>
    <xf numFmtId="37" fontId="34" fillId="6" borderId="8" xfId="16" applyFont="1" applyFill="1" applyBorder="1" applyAlignment="1" applyProtection="1">
      <alignment horizontal="right" vertical="center" shrinkToFit="1" readingOrder="2"/>
    </xf>
    <xf numFmtId="0" fontId="35" fillId="15" borderId="187" xfId="14" applyFont="1" applyFill="1" applyBorder="1" applyAlignment="1">
      <alignment horizontal="right" vertical="center"/>
    </xf>
    <xf numFmtId="165" fontId="4" fillId="8" borderId="220" xfId="14" applyNumberFormat="1" applyFill="1" applyBorder="1" applyAlignment="1" applyProtection="1">
      <alignment horizontal="right" vertical="center" shrinkToFit="1"/>
      <protection locked="0"/>
    </xf>
    <xf numFmtId="165" fontId="4" fillId="9" borderId="221" xfId="14" applyNumberFormat="1" applyFill="1" applyBorder="1" applyAlignment="1">
      <alignment horizontal="right" vertical="center" shrinkToFit="1"/>
    </xf>
    <xf numFmtId="165" fontId="82" fillId="6" borderId="184" xfId="14" applyNumberFormat="1" applyFont="1" applyFill="1" applyBorder="1" applyAlignment="1">
      <alignment horizontal="right" vertical="center" shrinkToFit="1"/>
    </xf>
    <xf numFmtId="0" fontId="35" fillId="6" borderId="184" xfId="14" applyFont="1" applyFill="1" applyBorder="1" applyAlignment="1">
      <alignment horizontal="right" vertical="center" shrinkToFit="1"/>
    </xf>
    <xf numFmtId="0" fontId="35" fillId="6" borderId="178" xfId="14" applyFont="1" applyFill="1" applyBorder="1" applyAlignment="1">
      <alignment horizontal="right" vertical="center" shrinkToFit="1"/>
    </xf>
    <xf numFmtId="0" fontId="37" fillId="5" borderId="176" xfId="14" applyFont="1" applyFill="1" applyBorder="1" applyAlignment="1">
      <alignment horizontal="center" vertical="center"/>
    </xf>
    <xf numFmtId="165" fontId="37" fillId="5" borderId="6" xfId="14" applyNumberFormat="1" applyFont="1" applyFill="1" applyBorder="1" applyAlignment="1">
      <alignment horizontal="center" vertical="center" shrinkToFit="1"/>
    </xf>
    <xf numFmtId="0" fontId="37" fillId="5" borderId="7" xfId="14" applyFont="1" applyFill="1" applyBorder="1" applyAlignment="1">
      <alignment horizontal="center" vertical="center"/>
    </xf>
    <xf numFmtId="0" fontId="37" fillId="5" borderId="6" xfId="14" applyFont="1" applyFill="1" applyBorder="1" applyAlignment="1">
      <alignment horizontal="center" vertical="center"/>
    </xf>
    <xf numFmtId="165" fontId="37" fillId="5" borderId="222" xfId="14" applyNumberFormat="1" applyFont="1" applyFill="1" applyBorder="1" applyAlignment="1">
      <alignment horizontal="center" vertical="center" shrinkToFit="1"/>
    </xf>
    <xf numFmtId="0" fontId="4" fillId="6" borderId="184" xfId="14" applyFont="1" applyFill="1" applyBorder="1" applyAlignment="1">
      <alignment horizontal="right" vertical="center" wrapText="1" readingOrder="2"/>
    </xf>
    <xf numFmtId="0" fontId="4" fillId="6" borderId="186" xfId="14" applyFont="1" applyFill="1" applyBorder="1" applyAlignment="1">
      <alignment horizontal="right" vertical="center" wrapText="1"/>
    </xf>
    <xf numFmtId="2" fontId="4" fillId="3" borderId="0" xfId="14" applyNumberFormat="1" applyFill="1" applyAlignment="1">
      <alignment horizontal="right" vertical="center" shrinkToFit="1"/>
    </xf>
    <xf numFmtId="0" fontId="61" fillId="2" borderId="0" xfId="14" applyFont="1" applyFill="1" applyAlignment="1">
      <alignment horizontal="right" vertical="center" wrapText="1"/>
    </xf>
    <xf numFmtId="1" fontId="28" fillId="5" borderId="3" xfId="31" applyNumberFormat="1" applyFont="1" applyFill="1" applyBorder="1" applyAlignment="1" applyProtection="1">
      <alignment horizontal="center" vertical="center" readingOrder="2"/>
    </xf>
    <xf numFmtId="0" fontId="28" fillId="5" borderId="3" xfId="31" applyFont="1" applyFill="1" applyBorder="1" applyAlignment="1" applyProtection="1">
      <alignment horizontal="center" vertical="center" readingOrder="2"/>
    </xf>
    <xf numFmtId="0" fontId="28" fillId="5" borderId="21" xfId="31" applyFont="1" applyFill="1" applyBorder="1" applyAlignment="1" applyProtection="1">
      <alignment horizontal="center" vertical="center" readingOrder="2"/>
    </xf>
    <xf numFmtId="165" fontId="34" fillId="8" borderId="117" xfId="31" applyNumberFormat="1" applyFont="1" applyFill="1" applyBorder="1" applyAlignment="1" applyProtection="1">
      <alignment horizontal="right" vertical="center" shrinkToFit="1" readingOrder="2"/>
      <protection locked="0"/>
    </xf>
    <xf numFmtId="165" fontId="34" fillId="8" borderId="119" xfId="31" applyNumberFormat="1" applyFont="1" applyFill="1" applyBorder="1" applyAlignment="1" applyProtection="1">
      <alignment horizontal="right" vertical="center" shrinkToFit="1" readingOrder="2"/>
      <protection locked="0"/>
    </xf>
    <xf numFmtId="165" fontId="34" fillId="9" borderId="121" xfId="31" applyNumberFormat="1" applyFont="1" applyFill="1" applyBorder="1" applyAlignment="1" applyProtection="1">
      <alignment horizontal="right" vertical="center" shrinkToFit="1" readingOrder="2"/>
    </xf>
    <xf numFmtId="165" fontId="34" fillId="8" borderId="120" xfId="31" applyNumberFormat="1" applyFont="1" applyFill="1" applyBorder="1" applyAlignment="1" applyProtection="1">
      <alignment horizontal="right" vertical="center" shrinkToFit="1" readingOrder="2"/>
      <protection locked="0"/>
    </xf>
    <xf numFmtId="0" fontId="35" fillId="6" borderId="8" xfId="31" applyFont="1" applyFill="1" applyBorder="1" applyAlignment="1" applyProtection="1">
      <alignment horizontal="right" vertical="center" readingOrder="2"/>
    </xf>
    <xf numFmtId="0" fontId="32" fillId="6" borderId="8" xfId="31" applyFont="1" applyFill="1" applyBorder="1" applyAlignment="1" applyProtection="1">
      <alignment horizontal="right" vertical="center" readingOrder="2"/>
    </xf>
    <xf numFmtId="165" fontId="34" fillId="9" borderId="15" xfId="31" applyNumberFormat="1" applyFont="1" applyFill="1" applyBorder="1" applyAlignment="1" applyProtection="1">
      <alignment horizontal="right" vertical="center" shrinkToFit="1" readingOrder="2"/>
    </xf>
    <xf numFmtId="165" fontId="34" fillId="9" borderId="63" xfId="31" applyNumberFormat="1" applyFont="1" applyFill="1" applyBorder="1" applyAlignment="1" applyProtection="1">
      <alignment horizontal="right" vertical="center" shrinkToFit="1" readingOrder="2"/>
    </xf>
    <xf numFmtId="165" fontId="34" fillId="6" borderId="9" xfId="31" applyNumberFormat="1" applyFont="1" applyFill="1" applyBorder="1" applyAlignment="1" applyProtection="1">
      <alignment horizontal="right" vertical="center" shrinkToFit="1" readingOrder="2"/>
    </xf>
    <xf numFmtId="165" fontId="34" fillId="7" borderId="14" xfId="31" applyNumberFormat="1" applyFont="1" applyFill="1" applyBorder="1" applyAlignment="1" applyProtection="1">
      <alignment horizontal="right" vertical="center" shrinkToFit="1" readingOrder="2"/>
    </xf>
    <xf numFmtId="165" fontId="34" fillId="7" borderId="121" xfId="31" applyNumberFormat="1" applyFont="1" applyFill="1" applyBorder="1" applyAlignment="1" applyProtection="1">
      <alignment horizontal="right" vertical="center" shrinkToFit="1" readingOrder="2"/>
    </xf>
    <xf numFmtId="165" fontId="34" fillId="6" borderId="13" xfId="31" applyNumberFormat="1" applyFont="1" applyFill="1" applyBorder="1" applyAlignment="1" applyProtection="1">
      <alignment horizontal="right" vertical="center" shrinkToFit="1" readingOrder="2"/>
    </xf>
    <xf numFmtId="165" fontId="34" fillId="6" borderId="223" xfId="31" applyNumberFormat="1" applyFont="1" applyFill="1" applyBorder="1" applyAlignment="1" applyProtection="1">
      <alignment horizontal="right" vertical="center" shrinkToFit="1" readingOrder="2"/>
    </xf>
    <xf numFmtId="165" fontId="34" fillId="7" borderId="63" xfId="31" applyNumberFormat="1" applyFont="1" applyFill="1" applyBorder="1" applyAlignment="1" applyProtection="1">
      <alignment horizontal="right" vertical="center" shrinkToFit="1" readingOrder="2"/>
    </xf>
    <xf numFmtId="10" fontId="34" fillId="7" borderId="224" xfId="31" applyNumberFormat="1" applyFont="1" applyFill="1" applyBorder="1" applyAlignment="1" applyProtection="1">
      <alignment horizontal="right" vertical="center" shrinkToFit="1" readingOrder="2"/>
    </xf>
    <xf numFmtId="10" fontId="34" fillId="7" borderId="225" xfId="31" applyNumberFormat="1" applyFont="1" applyFill="1" applyBorder="1" applyAlignment="1" applyProtection="1">
      <alignment horizontal="right" vertical="center" shrinkToFit="1" readingOrder="2"/>
    </xf>
    <xf numFmtId="10" fontId="34" fillId="7" borderId="226" xfId="31" applyNumberFormat="1" applyFont="1" applyFill="1" applyBorder="1" applyAlignment="1" applyProtection="1">
      <alignment horizontal="right" vertical="center" shrinkToFit="1" readingOrder="2"/>
    </xf>
    <xf numFmtId="10" fontId="34" fillId="7" borderId="227" xfId="31" applyNumberFormat="1" applyFont="1" applyFill="1" applyBorder="1" applyAlignment="1" applyProtection="1">
      <alignment horizontal="right" vertical="center" shrinkToFit="1" readingOrder="2"/>
    </xf>
    <xf numFmtId="10" fontId="34" fillId="7" borderId="228" xfId="31" applyNumberFormat="1" applyFont="1" applyFill="1" applyBorder="1" applyAlignment="1" applyProtection="1">
      <alignment horizontal="right" vertical="center" shrinkToFit="1" readingOrder="2"/>
    </xf>
    <xf numFmtId="10" fontId="34" fillId="7" borderId="229" xfId="31" applyNumberFormat="1" applyFont="1" applyFill="1" applyBorder="1" applyAlignment="1" applyProtection="1">
      <alignment horizontal="right" vertical="center" shrinkToFit="1" readingOrder="2"/>
    </xf>
    <xf numFmtId="165" fontId="34" fillId="7" borderId="15" xfId="31" applyNumberFormat="1" applyFont="1" applyFill="1" applyBorder="1" applyAlignment="1" applyProtection="1">
      <alignment horizontal="right" vertical="center" readingOrder="2"/>
    </xf>
    <xf numFmtId="165" fontId="34" fillId="7" borderId="63" xfId="31" applyNumberFormat="1" applyFont="1" applyFill="1" applyBorder="1" applyAlignment="1" applyProtection="1">
      <alignment horizontal="right" vertical="center" readingOrder="2"/>
    </xf>
    <xf numFmtId="10" fontId="34" fillId="7" borderId="167" xfId="31" applyNumberFormat="1" applyFont="1" applyFill="1" applyBorder="1" applyAlignment="1" applyProtection="1">
      <alignment horizontal="right" vertical="center" readingOrder="2"/>
    </xf>
    <xf numFmtId="10" fontId="34" fillId="7" borderId="168" xfId="31" applyNumberFormat="1" applyFont="1" applyFill="1" applyBorder="1" applyAlignment="1" applyProtection="1">
      <alignment horizontal="right" vertical="center" readingOrder="2"/>
    </xf>
    <xf numFmtId="0" fontId="37" fillId="5" borderId="5" xfId="31" applyFont="1" applyFill="1" applyBorder="1" applyAlignment="1" applyProtection="1">
      <alignment horizontal="right" vertical="center" readingOrder="2"/>
    </xf>
    <xf numFmtId="165" fontId="32" fillId="2" borderId="13" xfId="31" applyNumberFormat="1" applyFont="1" applyFill="1" applyBorder="1" applyAlignment="1" applyProtection="1">
      <alignment horizontal="right" vertical="center" shrinkToFit="1" readingOrder="2"/>
    </xf>
    <xf numFmtId="1" fontId="35" fillId="2" borderId="0" xfId="31" applyNumberFormat="1" applyFont="1" applyFill="1" applyBorder="1" applyAlignment="1" applyProtection="1">
      <alignment horizontal="right" vertical="center" readingOrder="2"/>
    </xf>
    <xf numFmtId="165" fontId="32" fillId="2" borderId="0" xfId="33" applyNumberFormat="1" applyFont="1" applyFill="1" applyBorder="1" applyAlignment="1" applyProtection="1">
      <alignment horizontal="right" vertical="center" shrinkToFit="1" readingOrder="2"/>
    </xf>
    <xf numFmtId="165" fontId="32" fillId="2" borderId="14" xfId="33" applyNumberFormat="1" applyFont="1" applyFill="1" applyBorder="1" applyAlignment="1" applyProtection="1">
      <alignment horizontal="right" vertical="center" shrinkToFit="1" readingOrder="2"/>
    </xf>
    <xf numFmtId="165" fontId="32" fillId="2" borderId="15" xfId="33" applyNumberFormat="1" applyFont="1" applyFill="1" applyBorder="1" applyAlignment="1" applyProtection="1">
      <alignment horizontal="right" vertical="center" shrinkToFit="1" readingOrder="2"/>
    </xf>
    <xf numFmtId="165" fontId="35" fillId="2" borderId="15" xfId="31" applyNumberFormat="1" applyFont="1" applyFill="1" applyBorder="1" applyAlignment="1" applyProtection="1">
      <alignment horizontal="right" vertical="center" readingOrder="2"/>
    </xf>
    <xf numFmtId="165" fontId="35" fillId="2" borderId="0" xfId="31" applyNumberFormat="1" applyFont="1" applyFill="1" applyAlignment="1" applyProtection="1">
      <alignment horizontal="right" vertical="center" readingOrder="2"/>
    </xf>
    <xf numFmtId="165" fontId="32" fillId="2" borderId="15" xfId="14" applyNumberFormat="1" applyFont="1" applyFill="1" applyBorder="1" applyAlignment="1" applyProtection="1">
      <alignment horizontal="right" vertical="center" readingOrder="2"/>
    </xf>
    <xf numFmtId="10" fontId="32" fillId="2" borderId="0" xfId="31" applyNumberFormat="1" applyFont="1" applyFill="1" applyBorder="1" applyAlignment="1" applyProtection="1">
      <alignment horizontal="right" vertical="center" readingOrder="2"/>
    </xf>
    <xf numFmtId="10" fontId="35" fillId="2" borderId="0" xfId="31" applyNumberFormat="1" applyFont="1" applyFill="1" applyBorder="1" applyAlignment="1" applyProtection="1">
      <alignment horizontal="right" vertical="center" readingOrder="2"/>
    </xf>
    <xf numFmtId="165" fontId="35" fillId="2" borderId="0" xfId="31" applyNumberFormat="1" applyFont="1" applyFill="1" applyBorder="1" applyAlignment="1" applyProtection="1">
      <alignment horizontal="right" vertical="center" readingOrder="2"/>
    </xf>
    <xf numFmtId="0" fontId="28" fillId="5" borderId="3" xfId="24" applyFont="1" applyFill="1" applyBorder="1" applyAlignment="1" applyProtection="1">
      <alignment horizontal="center" vertical="center" readingOrder="2"/>
    </xf>
    <xf numFmtId="0" fontId="28" fillId="5" borderId="38" xfId="24" applyFont="1" applyFill="1" applyBorder="1" applyAlignment="1" applyProtection="1">
      <alignment horizontal="center" vertical="center" readingOrder="2"/>
    </xf>
    <xf numFmtId="0" fontId="35" fillId="6" borderId="0" xfId="14" applyFont="1" applyFill="1" applyAlignment="1" applyProtection="1">
      <alignment horizontal="right" vertical="center" readingOrder="2"/>
    </xf>
    <xf numFmtId="0" fontId="68" fillId="6" borderId="8" xfId="24" applyFont="1" applyFill="1" applyBorder="1" applyAlignment="1" applyProtection="1">
      <alignment horizontal="right" vertical="center" readingOrder="2"/>
    </xf>
    <xf numFmtId="0" fontId="4" fillId="6" borderId="0" xfId="14" applyFill="1" applyBorder="1" applyAlignment="1" applyProtection="1">
      <alignment horizontal="center" vertical="center" readingOrder="2"/>
    </xf>
    <xf numFmtId="0" fontId="28" fillId="6" borderId="0" xfId="24" applyFont="1" applyFill="1" applyBorder="1" applyAlignment="1" applyProtection="1">
      <alignment horizontal="center" vertical="center" readingOrder="2"/>
    </xf>
    <xf numFmtId="0" fontId="4" fillId="6" borderId="9" xfId="14" applyFill="1" applyBorder="1" applyAlignment="1" applyProtection="1">
      <alignment horizontal="center" vertical="center" readingOrder="2"/>
    </xf>
    <xf numFmtId="165" fontId="34" fillId="7" borderId="0" xfId="24" applyNumberFormat="1" applyFont="1" applyFill="1" applyBorder="1" applyAlignment="1" applyProtection="1">
      <alignment horizontal="right" vertical="center" shrinkToFit="1" readingOrder="2"/>
    </xf>
    <xf numFmtId="10" fontId="34" fillId="6" borderId="0" xfId="33" applyNumberFormat="1" applyFont="1" applyFill="1" applyBorder="1" applyAlignment="1" applyProtection="1">
      <alignment horizontal="right" vertical="center" shrinkToFit="1" readingOrder="2"/>
    </xf>
    <xf numFmtId="10" fontId="34" fillId="6" borderId="9" xfId="33" applyNumberFormat="1" applyFont="1" applyFill="1" applyBorder="1" applyAlignment="1" applyProtection="1">
      <alignment horizontal="right" vertical="center" readingOrder="2"/>
    </xf>
    <xf numFmtId="165" fontId="34" fillId="8" borderId="11" xfId="24" applyNumberFormat="1" applyFont="1" applyFill="1" applyBorder="1" applyAlignment="1" applyProtection="1">
      <alignment horizontal="right" vertical="center" shrinkToFit="1" readingOrder="2"/>
      <protection locked="0"/>
    </xf>
    <xf numFmtId="165" fontId="34" fillId="9" borderId="14" xfId="24" applyNumberFormat="1" applyFont="1" applyFill="1" applyBorder="1" applyAlignment="1" applyProtection="1">
      <alignment horizontal="right" vertical="center" shrinkToFit="1" readingOrder="2"/>
    </xf>
    <xf numFmtId="10" fontId="34" fillId="6" borderId="52" xfId="33" applyNumberFormat="1" applyFont="1" applyFill="1" applyBorder="1" applyAlignment="1" applyProtection="1">
      <alignment horizontal="right" vertical="center" shrinkToFit="1" readingOrder="2"/>
    </xf>
    <xf numFmtId="10" fontId="34" fillId="6" borderId="107" xfId="33" applyNumberFormat="1" applyFont="1" applyFill="1" applyBorder="1" applyAlignment="1" applyProtection="1">
      <alignment horizontal="right" vertical="center" readingOrder="2"/>
    </xf>
    <xf numFmtId="0" fontId="35" fillId="6" borderId="0" xfId="24" applyFont="1" applyFill="1" applyAlignment="1" applyProtection="1">
      <alignment horizontal="right" vertical="center" readingOrder="2"/>
    </xf>
    <xf numFmtId="0" fontId="34" fillId="2" borderId="0" xfId="24" applyFont="1" applyFill="1" applyBorder="1" applyAlignment="1" applyProtection="1">
      <alignment horizontal="right" vertical="center" readingOrder="2"/>
    </xf>
    <xf numFmtId="165" fontId="34" fillId="2" borderId="0" xfId="24" applyNumberFormat="1" applyFont="1" applyFill="1" applyBorder="1" applyAlignment="1" applyProtection="1">
      <alignment horizontal="right" vertical="center" readingOrder="2"/>
    </xf>
    <xf numFmtId="165" fontId="34" fillId="2" borderId="14" xfId="24" applyNumberFormat="1" applyFont="1" applyFill="1" applyBorder="1" applyAlignment="1" applyProtection="1">
      <alignment horizontal="right" vertical="center" readingOrder="2"/>
    </xf>
    <xf numFmtId="0" fontId="33" fillId="2" borderId="47" xfId="25" applyFont="1" applyFill="1" applyBorder="1" applyAlignment="1" applyProtection="1">
      <alignment horizontal="right" vertical="center" readingOrder="2"/>
    </xf>
    <xf numFmtId="0" fontId="33" fillId="2" borderId="230" xfId="25" applyFont="1" applyFill="1" applyBorder="1" applyAlignment="1" applyProtection="1">
      <alignment horizontal="right" vertical="center" readingOrder="2"/>
    </xf>
    <xf numFmtId="0" fontId="38" fillId="2" borderId="122" xfId="25" applyFont="1" applyFill="1" applyBorder="1" applyAlignment="1" applyProtection="1">
      <alignment horizontal="right" vertical="center" readingOrder="2"/>
    </xf>
    <xf numFmtId="169" fontId="33" fillId="2" borderId="148" xfId="25" applyNumberFormat="1" applyFont="1" applyFill="1" applyBorder="1" applyAlignment="1" applyProtection="1">
      <alignment horizontal="right" vertical="center" shrinkToFit="1" readingOrder="2"/>
    </xf>
    <xf numFmtId="165" fontId="82" fillId="6" borderId="231" xfId="14" applyNumberFormat="1" applyFont="1" applyFill="1" applyBorder="1" applyAlignment="1">
      <alignment horizontal="right" vertical="center" shrinkToFit="1"/>
    </xf>
    <xf numFmtId="165" fontId="61" fillId="6" borderId="178" xfId="14" applyNumberFormat="1" applyFont="1" applyFill="1" applyBorder="1" applyAlignment="1">
      <alignment horizontal="right" vertical="center" wrapText="1"/>
    </xf>
    <xf numFmtId="165" fontId="61" fillId="6" borderId="184" xfId="14" applyNumberFormat="1" applyFont="1" applyFill="1" applyBorder="1" applyAlignment="1">
      <alignment horizontal="right" vertical="center" wrapText="1"/>
    </xf>
    <xf numFmtId="165" fontId="61" fillId="6" borderId="192" xfId="14" applyNumberFormat="1" applyFont="1" applyFill="1" applyBorder="1" applyAlignment="1">
      <alignment horizontal="right" vertical="center" wrapText="1"/>
    </xf>
    <xf numFmtId="0" fontId="37" fillId="3" borderId="0" xfId="17" applyFont="1" applyFill="1" applyBorder="1" applyAlignment="1" applyProtection="1">
      <alignment horizontal="right" vertical="center" readingOrder="2"/>
    </xf>
    <xf numFmtId="0" fontId="67" fillId="16" borderId="0" xfId="17" applyFont="1" applyFill="1" applyBorder="1" applyAlignment="1" applyProtection="1">
      <alignment horizontal="right" vertical="center" readingOrder="2"/>
    </xf>
    <xf numFmtId="0" fontId="37" fillId="16" borderId="0" xfId="17" applyFont="1" applyFill="1" applyBorder="1" applyAlignment="1" applyProtection="1">
      <alignment horizontal="right" vertical="center" wrapText="1" readingOrder="2"/>
    </xf>
    <xf numFmtId="0" fontId="37" fillId="3" borderId="0" xfId="17" applyNumberFormat="1" applyFont="1" applyFill="1" applyBorder="1" applyAlignment="1" applyProtection="1">
      <alignment horizontal="right" vertical="center" shrinkToFit="1" readingOrder="2"/>
    </xf>
    <xf numFmtId="165" fontId="35" fillId="3" borderId="0" xfId="14" applyNumberFormat="1" applyFont="1" applyFill="1" applyBorder="1" applyAlignment="1" applyProtection="1">
      <alignment horizontal="right" vertical="center" shrinkToFit="1" readingOrder="2"/>
    </xf>
    <xf numFmtId="165" fontId="35" fillId="2" borderId="14" xfId="17" applyNumberFormat="1" applyFont="1" applyFill="1" applyBorder="1" applyAlignment="1" applyProtection="1">
      <alignment horizontal="right" vertical="center" shrinkToFit="1" readingOrder="2"/>
    </xf>
    <xf numFmtId="0" fontId="4" fillId="0" borderId="0" xfId="14" applyFont="1" applyAlignment="1" applyProtection="1">
      <alignment horizontal="right" vertical="center" readingOrder="2"/>
    </xf>
    <xf numFmtId="0" fontId="35" fillId="0" borderId="0" xfId="14" applyFont="1" applyAlignment="1" applyProtection="1">
      <alignment horizontal="right" vertical="center" readingOrder="2"/>
    </xf>
    <xf numFmtId="0" fontId="4" fillId="3" borderId="0" xfId="14" applyFont="1" applyFill="1" applyAlignment="1" applyProtection="1">
      <alignment horizontal="right" vertical="center" indent="1" readingOrder="2"/>
    </xf>
    <xf numFmtId="0" fontId="4" fillId="6" borderId="184" xfId="14" applyFont="1" applyFill="1" applyBorder="1" applyAlignment="1">
      <alignment horizontal="right" vertical="center" wrapText="1"/>
    </xf>
    <xf numFmtId="0" fontId="4" fillId="6" borderId="186" xfId="14" applyFont="1" applyFill="1" applyBorder="1" applyAlignment="1">
      <alignment horizontal="right" vertical="center"/>
    </xf>
    <xf numFmtId="0" fontId="61" fillId="3" borderId="0" xfId="14" applyFont="1" applyFill="1" applyBorder="1" applyAlignment="1">
      <alignment horizontal="right" vertical="center"/>
    </xf>
    <xf numFmtId="0" fontId="61" fillId="3" borderId="0" xfId="14" applyFont="1" applyFill="1" applyAlignment="1">
      <alignment horizontal="right" vertical="center"/>
    </xf>
    <xf numFmtId="0" fontId="61" fillId="6" borderId="7" xfId="14" applyFont="1" applyFill="1" applyBorder="1" applyAlignment="1">
      <alignment horizontal="right" vertical="center"/>
    </xf>
    <xf numFmtId="0" fontId="115" fillId="5" borderId="7" xfId="14" applyFont="1" applyFill="1" applyBorder="1" applyAlignment="1">
      <alignment horizontal="center" vertical="center"/>
    </xf>
    <xf numFmtId="0" fontId="61" fillId="6" borderId="232" xfId="14" applyFont="1" applyFill="1" applyBorder="1" applyAlignment="1" applyProtection="1">
      <alignment horizontal="right" vertical="center" wrapText="1"/>
      <protection locked="0"/>
    </xf>
    <xf numFmtId="0" fontId="61" fillId="5" borderId="7" xfId="14" applyFont="1" applyFill="1" applyBorder="1" applyAlignment="1">
      <alignment horizontal="right" vertical="center"/>
    </xf>
    <xf numFmtId="0" fontId="61" fillId="6" borderId="233" xfId="14" applyFont="1" applyFill="1" applyBorder="1" applyAlignment="1" applyProtection="1">
      <alignment horizontal="right" vertical="center" wrapText="1"/>
      <protection locked="0"/>
    </xf>
    <xf numFmtId="0" fontId="61" fillId="2" borderId="25" xfId="14" applyFont="1" applyFill="1" applyBorder="1" applyAlignment="1">
      <alignment horizontal="right" vertical="center"/>
    </xf>
    <xf numFmtId="0" fontId="61" fillId="2" borderId="0" xfId="14" applyFont="1" applyFill="1" applyAlignment="1">
      <alignment horizontal="right" vertical="center"/>
    </xf>
    <xf numFmtId="10" fontId="32" fillId="3" borderId="0" xfId="14" applyNumberFormat="1" applyFont="1" applyFill="1" applyAlignment="1" applyProtection="1">
      <alignment horizontal="right" vertical="center" readingOrder="2"/>
      <protection locked="0"/>
    </xf>
    <xf numFmtId="0" fontId="38" fillId="3" borderId="0" xfId="14" applyNumberFormat="1" applyFont="1" applyFill="1" applyBorder="1" applyAlignment="1" applyProtection="1">
      <alignment horizontal="center" vertical="center" readingOrder="2"/>
      <protection locked="0"/>
    </xf>
    <xf numFmtId="0" fontId="35" fillId="3" borderId="0" xfId="14" applyFont="1" applyFill="1" applyBorder="1" applyAlignment="1" applyProtection="1">
      <alignment horizontal="right" vertical="center" readingOrder="2"/>
      <protection locked="0"/>
    </xf>
    <xf numFmtId="49" fontId="51" fillId="3" borderId="0" xfId="14" applyNumberFormat="1" applyFont="1" applyFill="1" applyBorder="1" applyAlignment="1" applyProtection="1">
      <alignment horizontal="right" vertical="center" readingOrder="2"/>
      <protection locked="0"/>
    </xf>
    <xf numFmtId="1" fontId="51" fillId="3" borderId="0" xfId="14" applyNumberFormat="1" applyFont="1" applyFill="1" applyBorder="1" applyAlignment="1" applyProtection="1">
      <alignment horizontal="right" vertical="center" readingOrder="2"/>
      <protection locked="0"/>
    </xf>
    <xf numFmtId="49" fontId="35" fillId="3" borderId="0" xfId="14" applyNumberFormat="1" applyFont="1" applyFill="1" applyBorder="1" applyAlignment="1" applyProtection="1">
      <alignment horizontal="right" vertical="center" readingOrder="2"/>
      <protection locked="0"/>
    </xf>
    <xf numFmtId="0" fontId="32" fillId="3" borderId="22" xfId="14" applyFont="1" applyFill="1" applyBorder="1" applyAlignment="1" applyProtection="1">
      <alignment horizontal="right" vertical="center" readingOrder="2"/>
      <protection locked="0"/>
    </xf>
    <xf numFmtId="0" fontId="32" fillId="3" borderId="4" xfId="14" applyFont="1" applyFill="1" applyBorder="1" applyAlignment="1" applyProtection="1">
      <alignment horizontal="right" vertical="center" readingOrder="2"/>
      <protection locked="0"/>
    </xf>
    <xf numFmtId="0" fontId="51" fillId="3" borderId="0" xfId="14" applyFont="1" applyFill="1" applyBorder="1" applyAlignment="1" applyProtection="1">
      <alignment horizontal="right" vertical="center" readingOrder="2"/>
      <protection locked="0"/>
    </xf>
    <xf numFmtId="0" fontId="32" fillId="3" borderId="147" xfId="14" applyFont="1" applyFill="1" applyBorder="1" applyAlignment="1" applyProtection="1">
      <alignment horizontal="right" vertical="center" readingOrder="2"/>
      <protection locked="0"/>
    </xf>
    <xf numFmtId="49" fontId="32" fillId="2" borderId="0" xfId="19" applyNumberFormat="1" applyFont="1" applyFill="1" applyBorder="1" applyAlignment="1" applyProtection="1">
      <alignment horizontal="center" vertical="center" shrinkToFit="1" readingOrder="2"/>
    </xf>
    <xf numFmtId="0" fontId="46" fillId="2" borderId="0" xfId="21" applyNumberFormat="1" applyFont="1" applyFill="1" applyBorder="1" applyAlignment="1" applyProtection="1">
      <alignment horizontal="right" vertical="center" wrapText="1" readingOrder="2"/>
    </xf>
    <xf numFmtId="165" fontId="34" fillId="7" borderId="14" xfId="29" applyNumberFormat="1" applyFont="1" applyFill="1" applyBorder="1" applyAlignment="1" applyProtection="1">
      <alignment horizontal="right" vertical="center" shrinkToFit="1" readingOrder="2"/>
    </xf>
    <xf numFmtId="165" fontId="34" fillId="2" borderId="14" xfId="29" applyNumberFormat="1" applyFont="1" applyFill="1" applyBorder="1" applyAlignment="1" applyProtection="1">
      <alignment horizontal="right" vertical="center" shrinkToFit="1" readingOrder="2"/>
    </xf>
    <xf numFmtId="0" fontId="35" fillId="6" borderId="8" xfId="30" applyFont="1" applyFill="1" applyBorder="1" applyAlignment="1" applyProtection="1">
      <alignment horizontal="right" vertical="center" readingOrder="2"/>
    </xf>
    <xf numFmtId="0" fontId="35" fillId="2" borderId="0" xfId="30" applyFont="1" applyFill="1" applyBorder="1" applyAlignment="1" applyProtection="1">
      <alignment horizontal="right" vertical="center" readingOrder="2"/>
    </xf>
    <xf numFmtId="0" fontId="67" fillId="5" borderId="140" xfId="14" quotePrefix="1" applyFont="1" applyFill="1" applyBorder="1" applyAlignment="1" applyProtection="1">
      <alignment horizontal="center" vertical="center" readingOrder="2"/>
    </xf>
    <xf numFmtId="0" fontId="35" fillId="2" borderId="39" xfId="27" applyFont="1" applyFill="1" applyBorder="1" applyAlignment="1">
      <alignment horizontal="right" vertical="center" readingOrder="2"/>
    </xf>
    <xf numFmtId="0" fontId="35" fillId="2" borderId="39" xfId="27" applyFont="1" applyFill="1" applyBorder="1" applyAlignment="1">
      <alignment horizontal="center" vertical="center" readingOrder="2"/>
    </xf>
    <xf numFmtId="0" fontId="35" fillId="2" borderId="40" xfId="27" applyFont="1" applyFill="1" applyBorder="1" applyAlignment="1">
      <alignment horizontal="center" vertical="center" readingOrder="2"/>
    </xf>
    <xf numFmtId="0" fontId="35" fillId="2" borderId="40" xfId="27" applyFont="1" applyFill="1" applyBorder="1" applyAlignment="1">
      <alignment horizontal="right" vertical="center" readingOrder="2"/>
    </xf>
    <xf numFmtId="0" fontId="35" fillId="2" borderId="40" xfId="14" applyFont="1" applyFill="1" applyBorder="1" applyAlignment="1">
      <alignment horizontal="center" vertical="center" readingOrder="2"/>
    </xf>
    <xf numFmtId="0" fontId="35" fillId="2" borderId="41" xfId="14" applyFont="1" applyFill="1" applyBorder="1" applyAlignment="1">
      <alignment horizontal="right" vertical="center" readingOrder="2"/>
    </xf>
    <xf numFmtId="0" fontId="35" fillId="2" borderId="42" xfId="27" applyFont="1" applyFill="1" applyBorder="1" applyAlignment="1">
      <alignment horizontal="right" vertical="center" readingOrder="2"/>
    </xf>
    <xf numFmtId="0" fontId="35" fillId="2" borderId="42" xfId="27" applyFont="1" applyFill="1" applyBorder="1" applyAlignment="1">
      <alignment horizontal="center" readingOrder="2"/>
    </xf>
    <xf numFmtId="0" fontId="35" fillId="2" borderId="44" xfId="27" applyFont="1" applyFill="1" applyBorder="1" applyAlignment="1">
      <alignment horizontal="center" readingOrder="2"/>
    </xf>
    <xf numFmtId="0" fontId="35" fillId="2" borderId="43" xfId="27" applyFont="1" applyFill="1" applyBorder="1" applyAlignment="1">
      <alignment horizontal="right" readingOrder="2"/>
    </xf>
    <xf numFmtId="0" fontId="35" fillId="2" borderId="44" xfId="27" applyFont="1" applyFill="1" applyBorder="1" applyAlignment="1">
      <alignment horizontal="right" vertical="center" readingOrder="2"/>
    </xf>
    <xf numFmtId="0" fontId="35" fillId="2" borderId="44" xfId="27" applyFont="1" applyFill="1" applyBorder="1" applyAlignment="1">
      <alignment horizontal="right" readingOrder="2"/>
    </xf>
    <xf numFmtId="0" fontId="35" fillId="2" borderId="234" xfId="27" applyFont="1" applyFill="1" applyBorder="1" applyAlignment="1">
      <alignment horizontal="right" vertical="center" readingOrder="2"/>
    </xf>
    <xf numFmtId="0" fontId="35" fillId="2" borderId="45" xfId="14" applyFont="1" applyFill="1" applyBorder="1" applyAlignment="1">
      <alignment horizontal="right" vertical="center" readingOrder="2"/>
    </xf>
    <xf numFmtId="0" fontId="35" fillId="2" borderId="46" xfId="14" applyFont="1" applyFill="1" applyBorder="1" applyAlignment="1">
      <alignment horizontal="right" vertical="center" readingOrder="2"/>
    </xf>
    <xf numFmtId="0" fontId="35" fillId="2" borderId="24" xfId="14" applyFont="1" applyFill="1" applyBorder="1" applyAlignment="1">
      <alignment horizontal="right" vertical="center" readingOrder="2"/>
    </xf>
    <xf numFmtId="0" fontId="35" fillId="2" borderId="46" xfId="27" applyFont="1" applyFill="1" applyBorder="1" applyAlignment="1">
      <alignment horizontal="right" vertical="center" readingOrder="2"/>
    </xf>
    <xf numFmtId="0" fontId="51" fillId="2" borderId="42" xfId="27" applyFont="1" applyFill="1" applyBorder="1" applyAlignment="1">
      <alignment horizontal="right" vertical="center" readingOrder="2"/>
    </xf>
    <xf numFmtId="0" fontId="35" fillId="2" borderId="29" xfId="27" applyFont="1" applyFill="1" applyBorder="1" applyAlignment="1">
      <alignment horizontal="right" vertical="center" readingOrder="2"/>
    </xf>
    <xf numFmtId="0" fontId="51" fillId="2" borderId="29" xfId="27" applyFont="1" applyFill="1" applyBorder="1" applyAlignment="1">
      <alignment horizontal="right" vertical="center" readingOrder="2"/>
    </xf>
    <xf numFmtId="165" fontId="34" fillId="6" borderId="0" xfId="21" applyNumberFormat="1" applyFont="1" applyFill="1" applyBorder="1" applyAlignment="1" applyProtection="1">
      <alignment horizontal="right" vertical="center" shrinkToFit="1" readingOrder="2"/>
      <protection locked="0"/>
    </xf>
    <xf numFmtId="0" fontId="46" fillId="6" borderId="8" xfId="21" applyFont="1" applyFill="1" applyBorder="1" applyAlignment="1" applyProtection="1">
      <alignment horizontal="right" vertical="center" readingOrder="2"/>
      <protection locked="0"/>
    </xf>
    <xf numFmtId="165" fontId="38" fillId="2" borderId="84" xfId="19" applyNumberFormat="1" applyFont="1" applyFill="1" applyBorder="1" applyAlignment="1" applyProtection="1">
      <alignment horizontal="right" vertical="center" shrinkToFit="1" readingOrder="2"/>
    </xf>
    <xf numFmtId="165" fontId="38" fillId="2" borderId="85" xfId="19" applyNumberFormat="1" applyFont="1" applyFill="1" applyBorder="1" applyAlignment="1" applyProtection="1">
      <alignment horizontal="right" vertical="center" shrinkToFit="1" readingOrder="2"/>
    </xf>
    <xf numFmtId="165" fontId="38" fillId="2" borderId="1" xfId="19" applyNumberFormat="1" applyFont="1" applyFill="1" applyBorder="1" applyAlignment="1" applyProtection="1">
      <alignment horizontal="right" vertical="center" shrinkToFit="1" readingOrder="2"/>
    </xf>
    <xf numFmtId="165" fontId="38" fillId="2" borderId="46" xfId="19" applyNumberFormat="1" applyFont="1" applyFill="1" applyBorder="1" applyAlignment="1" applyProtection="1">
      <alignment horizontal="right" vertical="center" shrinkToFit="1" readingOrder="2"/>
    </xf>
    <xf numFmtId="0" fontId="4" fillId="3" borderId="0" xfId="14" applyFill="1" applyAlignment="1">
      <alignment horizontal="right"/>
    </xf>
    <xf numFmtId="0" fontId="35" fillId="2" borderId="166" xfId="26" applyFont="1" applyFill="1" applyBorder="1" applyAlignment="1" applyProtection="1">
      <alignment horizontal="right" vertical="center" shrinkToFit="1" readingOrder="2"/>
    </xf>
    <xf numFmtId="0" fontId="35" fillId="2" borderId="48" xfId="26" applyFont="1" applyFill="1" applyBorder="1" applyAlignment="1" applyProtection="1">
      <alignment horizontal="right" vertical="center" shrinkToFit="1" readingOrder="2"/>
    </xf>
    <xf numFmtId="165" fontId="35" fillId="2" borderId="84" xfId="26" applyNumberFormat="1" applyFont="1" applyFill="1" applyBorder="1" applyAlignment="1" applyProtection="1">
      <alignment horizontal="right" vertical="center" shrinkToFit="1" readingOrder="2"/>
    </xf>
    <xf numFmtId="167" fontId="35" fillId="2" borderId="84" xfId="26" applyNumberFormat="1" applyFont="1" applyFill="1" applyBorder="1" applyAlignment="1" applyProtection="1">
      <alignment horizontal="right" vertical="center" shrinkToFit="1" readingOrder="2"/>
    </xf>
    <xf numFmtId="165" fontId="35" fillId="2" borderId="15" xfId="29" applyNumberFormat="1" applyFont="1" applyFill="1" applyBorder="1" applyAlignment="1" applyProtection="1">
      <alignment horizontal="right" vertical="center" shrinkToFit="1" readingOrder="2"/>
    </xf>
    <xf numFmtId="165" fontId="35" fillId="2" borderId="15" xfId="24" applyNumberFormat="1" applyFont="1" applyFill="1" applyBorder="1" applyAlignment="1" applyProtection="1">
      <alignment horizontal="right" vertical="center" shrinkToFit="1" readingOrder="2"/>
    </xf>
    <xf numFmtId="165" fontId="35" fillId="2" borderId="20" xfId="24" applyNumberFormat="1" applyFont="1" applyFill="1" applyBorder="1" applyAlignment="1" applyProtection="1">
      <alignment horizontal="right" vertical="center" shrinkToFit="1" readingOrder="2"/>
    </xf>
    <xf numFmtId="165" fontId="35" fillId="2" borderId="150" xfId="24" applyNumberFormat="1" applyFont="1" applyFill="1" applyBorder="1" applyAlignment="1" applyProtection="1">
      <alignment horizontal="right" vertical="center" shrinkToFit="1" readingOrder="2"/>
    </xf>
    <xf numFmtId="10" fontId="35" fillId="2" borderId="150" xfId="24" applyNumberFormat="1" applyFont="1" applyFill="1" applyBorder="1" applyAlignment="1" applyProtection="1">
      <alignment horizontal="right" vertical="center" readingOrder="2"/>
    </xf>
    <xf numFmtId="165" fontId="35" fillId="2" borderId="15" xfId="24" applyNumberFormat="1" applyFont="1" applyFill="1" applyBorder="1" applyAlignment="1" applyProtection="1">
      <alignment horizontal="right" vertical="center" readingOrder="2"/>
    </xf>
    <xf numFmtId="10" fontId="35" fillId="2" borderId="15" xfId="24" applyNumberFormat="1" applyFont="1" applyFill="1" applyBorder="1" applyAlignment="1" applyProtection="1">
      <alignment horizontal="right" vertical="center" readingOrder="2"/>
    </xf>
    <xf numFmtId="10" fontId="35" fillId="2" borderId="150" xfId="33" applyNumberFormat="1" applyFont="1" applyFill="1" applyBorder="1" applyAlignment="1" applyProtection="1">
      <alignment horizontal="right" vertical="center" readingOrder="2"/>
    </xf>
    <xf numFmtId="10" fontId="35" fillId="2" borderId="15" xfId="33" applyNumberFormat="1" applyFont="1" applyFill="1" applyBorder="1" applyAlignment="1" applyProtection="1">
      <alignment horizontal="right" vertical="center" shrinkToFit="1" readingOrder="2"/>
    </xf>
    <xf numFmtId="165" fontId="35" fillId="2" borderId="14" xfId="24" applyNumberFormat="1" applyFont="1" applyFill="1" applyBorder="1" applyAlignment="1" applyProtection="1">
      <alignment horizontal="right" vertical="center" readingOrder="2"/>
    </xf>
    <xf numFmtId="0" fontId="38" fillId="2" borderId="45" xfId="25" applyFont="1" applyFill="1" applyBorder="1" applyAlignment="1" applyProtection="1">
      <alignment horizontal="center" vertical="center" readingOrder="2"/>
    </xf>
    <xf numFmtId="0" fontId="38" fillId="2" borderId="47" xfId="25" applyFont="1" applyFill="1" applyBorder="1" applyAlignment="1" applyProtection="1">
      <alignment horizontal="center" vertical="center" readingOrder="2"/>
    </xf>
    <xf numFmtId="0" fontId="38" fillId="2" borderId="166" xfId="25" applyFont="1" applyFill="1" applyBorder="1" applyAlignment="1" applyProtection="1">
      <alignment horizontal="right" vertical="center" readingOrder="2"/>
    </xf>
    <xf numFmtId="38" fontId="38" fillId="2" borderId="166" xfId="25" applyNumberFormat="1" applyFont="1" applyFill="1" applyBorder="1" applyAlignment="1" applyProtection="1">
      <alignment horizontal="right" vertical="center" readingOrder="2"/>
    </xf>
    <xf numFmtId="0" fontId="38" fillId="2" borderId="29" xfId="25" applyFont="1" applyFill="1" applyBorder="1" applyAlignment="1" applyProtection="1">
      <alignment horizontal="center" vertical="center" readingOrder="2"/>
    </xf>
    <xf numFmtId="0" fontId="38" fillId="2" borderId="48" xfId="25" applyFont="1" applyFill="1" applyBorder="1" applyAlignment="1" applyProtection="1">
      <alignment horizontal="center" vertical="center" readingOrder="2"/>
    </xf>
    <xf numFmtId="0" fontId="38" fillId="2" borderId="48" xfId="14" applyFont="1" applyFill="1" applyBorder="1" applyAlignment="1" applyProtection="1">
      <alignment horizontal="center" vertical="center" readingOrder="2"/>
    </xf>
    <xf numFmtId="169" fontId="38" fillId="2" borderId="29" xfId="25" applyNumberFormat="1" applyFont="1" applyFill="1" applyBorder="1" applyAlignment="1" applyProtection="1">
      <alignment horizontal="center" vertical="center" readingOrder="2"/>
    </xf>
    <xf numFmtId="0" fontId="38" fillId="2" borderId="44" xfId="25" applyFont="1" applyFill="1" applyBorder="1" applyAlignment="1" applyProtection="1">
      <alignment horizontal="right" vertical="center" readingOrder="2"/>
    </xf>
    <xf numFmtId="0" fontId="38" fillId="2" borderId="45" xfId="14" applyFont="1" applyFill="1" applyBorder="1" applyAlignment="1" applyProtection="1">
      <alignment horizontal="center" vertical="center" readingOrder="2"/>
    </xf>
    <xf numFmtId="0" fontId="38" fillId="2" borderId="47" xfId="14" applyFont="1" applyFill="1" applyBorder="1" applyAlignment="1" applyProtection="1">
      <alignment horizontal="center" vertical="center" readingOrder="2"/>
    </xf>
    <xf numFmtId="0" fontId="38" fillId="2" borderId="46" xfId="25" applyFont="1" applyFill="1" applyBorder="1" applyAlignment="1" applyProtection="1">
      <alignment horizontal="right" vertical="center" readingOrder="2"/>
    </xf>
    <xf numFmtId="38" fontId="38" fillId="2" borderId="46" xfId="25" applyNumberFormat="1" applyFont="1" applyFill="1" applyBorder="1" applyAlignment="1" applyProtection="1">
      <alignment horizontal="right" vertical="center" readingOrder="2"/>
    </xf>
    <xf numFmtId="0" fontId="38" fillId="2" borderId="1" xfId="25" applyFont="1" applyFill="1" applyBorder="1" applyAlignment="1" applyProtection="1">
      <alignment horizontal="right" vertical="center" readingOrder="2"/>
    </xf>
    <xf numFmtId="0" fontId="38" fillId="2" borderId="39" xfId="14" applyFont="1" applyFill="1" applyBorder="1" applyAlignment="1" applyProtection="1">
      <alignment horizontal="left" vertical="center" readingOrder="2"/>
    </xf>
    <xf numFmtId="0" fontId="38" fillId="2" borderId="41" xfId="14" applyFont="1" applyFill="1" applyBorder="1" applyAlignment="1" applyProtection="1">
      <alignment horizontal="right" vertical="center" readingOrder="2"/>
    </xf>
    <xf numFmtId="169" fontId="38" fillId="2" borderId="39" xfId="25" applyNumberFormat="1" applyFont="1" applyFill="1" applyBorder="1" applyAlignment="1" applyProtection="1">
      <alignment horizontal="left" vertical="center" readingOrder="2"/>
    </xf>
    <xf numFmtId="0" fontId="35" fillId="2" borderId="40" xfId="14" quotePrefix="1" applyFont="1" applyFill="1" applyBorder="1" applyAlignment="1" applyProtection="1">
      <alignment horizontal="right" vertical="center" shrinkToFit="1" readingOrder="2"/>
    </xf>
    <xf numFmtId="0" fontId="35" fillId="2" borderId="41" xfId="14" quotePrefix="1" applyFont="1" applyFill="1" applyBorder="1" applyAlignment="1" applyProtection="1">
      <alignment horizontal="right" vertical="center" shrinkToFit="1" readingOrder="2"/>
    </xf>
    <xf numFmtId="0" fontId="35" fillId="2" borderId="40" xfId="14" quotePrefix="1" applyFont="1" applyFill="1" applyBorder="1" applyAlignment="1" applyProtection="1">
      <alignment horizontal="right" vertical="center" readingOrder="2"/>
    </xf>
    <xf numFmtId="0" fontId="35" fillId="2" borderId="41" xfId="14" quotePrefix="1" applyFont="1" applyFill="1" applyBorder="1" applyAlignment="1" applyProtection="1">
      <alignment horizontal="right" vertical="center" readingOrder="2"/>
    </xf>
    <xf numFmtId="37" fontId="35" fillId="2" borderId="67" xfId="14" applyNumberFormat="1" applyFont="1" applyFill="1" applyBorder="1" applyAlignment="1" applyProtection="1">
      <alignment horizontal="right" vertical="center" readingOrder="2"/>
    </xf>
    <xf numFmtId="0" fontId="35" fillId="2" borderId="43" xfId="14" applyFont="1" applyFill="1" applyBorder="1" applyAlignment="1" applyProtection="1">
      <alignment horizontal="right" vertical="center" readingOrder="2"/>
    </xf>
    <xf numFmtId="0" fontId="35" fillId="2" borderId="24" xfId="14" quotePrefix="1" applyFont="1" applyFill="1" applyBorder="1" applyAlignment="1" applyProtection="1">
      <alignment horizontal="right" vertical="center" readingOrder="2"/>
    </xf>
    <xf numFmtId="37" fontId="35" fillId="2" borderId="24" xfId="14" applyNumberFormat="1" applyFont="1" applyFill="1" applyBorder="1" applyAlignment="1" applyProtection="1">
      <alignment horizontal="right" vertical="center" readingOrder="2"/>
    </xf>
    <xf numFmtId="37" fontId="35" fillId="2" borderId="47" xfId="14" applyNumberFormat="1" applyFont="1" applyFill="1" applyBorder="1" applyAlignment="1" applyProtection="1">
      <alignment horizontal="right" vertical="center" readingOrder="2"/>
    </xf>
    <xf numFmtId="37" fontId="35" fillId="2" borderId="43" xfId="14" applyNumberFormat="1" applyFont="1" applyFill="1" applyBorder="1" applyAlignment="1" applyProtection="1">
      <alignment horizontal="right" vertical="center" readingOrder="2"/>
    </xf>
    <xf numFmtId="1" fontId="35" fillId="2" borderId="24" xfId="14" applyNumberFormat="1" applyFont="1" applyFill="1" applyBorder="1" applyAlignment="1" applyProtection="1">
      <alignment horizontal="right" vertical="center" readingOrder="2"/>
    </xf>
    <xf numFmtId="1" fontId="35" fillId="2" borderId="47" xfId="14" applyNumberFormat="1" applyFont="1" applyFill="1" applyBorder="1" applyAlignment="1" applyProtection="1">
      <alignment horizontal="right" vertical="center" readingOrder="2"/>
    </xf>
    <xf numFmtId="1" fontId="51" fillId="2" borderId="0" xfId="14" quotePrefix="1" applyNumberFormat="1" applyFont="1" applyFill="1" applyBorder="1" applyAlignment="1" applyProtection="1">
      <alignment horizontal="right" vertical="center" readingOrder="2"/>
    </xf>
    <xf numFmtId="0" fontId="35" fillId="2" borderId="40" xfId="14" quotePrefix="1" applyNumberFormat="1" applyFont="1" applyFill="1" applyBorder="1" applyAlignment="1" applyProtection="1">
      <alignment horizontal="right" vertical="center" readingOrder="2"/>
    </xf>
    <xf numFmtId="0" fontId="35" fillId="2" borderId="41" xfId="14" quotePrefix="1" applyNumberFormat="1" applyFont="1" applyFill="1" applyBorder="1" applyAlignment="1" applyProtection="1">
      <alignment horizontal="right" vertical="center" readingOrder="2"/>
    </xf>
    <xf numFmtId="37" fontId="35" fillId="2" borderId="15" xfId="14" applyNumberFormat="1" applyFont="1" applyFill="1" applyBorder="1" applyAlignment="1" applyProtection="1">
      <alignment horizontal="right" vertical="center" readingOrder="2"/>
    </xf>
    <xf numFmtId="0" fontId="35" fillId="2" borderId="44" xfId="14" applyNumberFormat="1" applyFont="1" applyFill="1" applyBorder="1" applyAlignment="1" applyProtection="1">
      <alignment horizontal="right" vertical="center" readingOrder="2"/>
    </xf>
    <xf numFmtId="0" fontId="35" fillId="2" borderId="42" xfId="14" applyNumberFormat="1" applyFont="1" applyFill="1" applyBorder="1" applyAlignment="1" applyProtection="1">
      <alignment horizontal="right" vertical="center" readingOrder="2"/>
    </xf>
    <xf numFmtId="37" fontId="35" fillId="2" borderId="166" xfId="14" applyNumberFormat="1" applyFont="1" applyFill="1" applyBorder="1" applyAlignment="1" applyProtection="1">
      <alignment horizontal="right" vertical="center" readingOrder="2"/>
    </xf>
    <xf numFmtId="0" fontId="35" fillId="2" borderId="1" xfId="14" quotePrefix="1" applyFont="1" applyFill="1" applyBorder="1" applyAlignment="1" applyProtection="1">
      <alignment horizontal="right" vertical="center" readingOrder="2"/>
    </xf>
    <xf numFmtId="1" fontId="35" fillId="2" borderId="1" xfId="14" applyNumberFormat="1" applyFont="1" applyFill="1" applyBorder="1" applyAlignment="1" applyProtection="1">
      <alignment horizontal="right" vertical="center" readingOrder="2"/>
    </xf>
    <xf numFmtId="165" fontId="34" fillId="7" borderId="155" xfId="14" applyNumberFormat="1" applyFont="1" applyFill="1" applyBorder="1" applyAlignment="1" applyProtection="1">
      <alignment horizontal="right" vertical="center" shrinkToFit="1" readingOrder="2"/>
    </xf>
    <xf numFmtId="165" fontId="34" fillId="7" borderId="152" xfId="14" applyNumberFormat="1" applyFont="1" applyFill="1" applyBorder="1" applyAlignment="1" applyProtection="1">
      <alignment horizontal="right" vertical="center" shrinkToFit="1" readingOrder="2"/>
    </xf>
    <xf numFmtId="165" fontId="34" fillId="7" borderId="72" xfId="14" applyNumberFormat="1" applyFont="1" applyFill="1" applyBorder="1" applyAlignment="1" applyProtection="1">
      <alignment horizontal="right" vertical="center" shrinkToFit="1" readingOrder="2"/>
    </xf>
    <xf numFmtId="165" fontId="34" fillId="7" borderId="102" xfId="14" applyNumberFormat="1" applyFont="1" applyFill="1" applyBorder="1" applyAlignment="1" applyProtection="1">
      <alignment horizontal="right" vertical="center" shrinkToFit="1" readingOrder="2"/>
    </xf>
    <xf numFmtId="165" fontId="34" fillId="7" borderId="171" xfId="14" applyNumberFormat="1" applyFont="1" applyFill="1" applyBorder="1" applyAlignment="1" applyProtection="1">
      <alignment horizontal="right" vertical="center" shrinkToFit="1" readingOrder="2"/>
    </xf>
    <xf numFmtId="165" fontId="34" fillId="7" borderId="172" xfId="14" applyNumberFormat="1" applyFont="1" applyFill="1" applyBorder="1" applyAlignment="1" applyProtection="1">
      <alignment horizontal="right" vertical="center" shrinkToFit="1" readingOrder="2"/>
    </xf>
    <xf numFmtId="165" fontId="34" fillId="7" borderId="68" xfId="14" applyNumberFormat="1" applyFont="1" applyFill="1" applyBorder="1" applyAlignment="1" applyProtection="1">
      <alignment horizontal="right" vertical="center" shrinkToFit="1" readingOrder="2"/>
    </xf>
    <xf numFmtId="165" fontId="34" fillId="7" borderId="101" xfId="14" applyNumberFormat="1" applyFont="1" applyFill="1" applyBorder="1" applyAlignment="1" applyProtection="1">
      <alignment horizontal="right" vertical="center" shrinkToFit="1" readingOrder="2"/>
    </xf>
    <xf numFmtId="165" fontId="40" fillId="9" borderId="74" xfId="14" applyNumberFormat="1" applyFont="1" applyFill="1" applyBorder="1" applyAlignment="1" applyProtection="1">
      <alignment horizontal="right" vertical="center" shrinkToFit="1" readingOrder="2"/>
    </xf>
    <xf numFmtId="165" fontId="40" fillId="9" borderId="76" xfId="14" applyNumberFormat="1" applyFont="1" applyFill="1" applyBorder="1" applyAlignment="1" applyProtection="1">
      <alignment horizontal="right" vertical="center" shrinkToFit="1" readingOrder="2"/>
    </xf>
    <xf numFmtId="165" fontId="34" fillId="7" borderId="151" xfId="14" applyNumberFormat="1" applyFont="1" applyFill="1" applyBorder="1" applyAlignment="1" applyProtection="1">
      <alignment horizontal="right" vertical="center" shrinkToFit="1" readingOrder="2"/>
    </xf>
    <xf numFmtId="165" fontId="34" fillId="7" borderId="70" xfId="14" applyNumberFormat="1" applyFont="1" applyFill="1" applyBorder="1" applyAlignment="1" applyProtection="1">
      <alignment horizontal="right" vertical="center" shrinkToFit="1" readingOrder="2"/>
    </xf>
    <xf numFmtId="165" fontId="34" fillId="7" borderId="71" xfId="14" applyNumberFormat="1" applyFont="1" applyFill="1" applyBorder="1" applyAlignment="1" applyProtection="1">
      <alignment horizontal="right" vertical="center" shrinkToFit="1" readingOrder="2"/>
    </xf>
    <xf numFmtId="165" fontId="34" fillId="7" borderId="73" xfId="14" applyNumberFormat="1" applyFont="1" applyFill="1" applyBorder="1" applyAlignment="1" applyProtection="1">
      <alignment horizontal="right" vertical="center" shrinkToFit="1" readingOrder="2"/>
    </xf>
    <xf numFmtId="165" fontId="34" fillId="7" borderId="156" xfId="14" applyNumberFormat="1" applyFont="1" applyFill="1" applyBorder="1" applyAlignment="1" applyProtection="1">
      <alignment horizontal="right" vertical="center" shrinkToFit="1" readingOrder="2"/>
    </xf>
    <xf numFmtId="165" fontId="34" fillId="7" borderId="153" xfId="14" applyNumberFormat="1" applyFont="1" applyFill="1" applyBorder="1" applyAlignment="1" applyProtection="1">
      <alignment horizontal="right" vertical="center" shrinkToFit="1" readingOrder="2"/>
    </xf>
    <xf numFmtId="165" fontId="40" fillId="9" borderId="75" xfId="14" applyNumberFormat="1" applyFont="1" applyFill="1" applyBorder="1" applyAlignment="1" applyProtection="1">
      <alignment horizontal="right" vertical="center" shrinkToFit="1" readingOrder="2"/>
    </xf>
    <xf numFmtId="165" fontId="60" fillId="6" borderId="0" xfId="14" applyNumberFormat="1" applyFont="1" applyFill="1" applyBorder="1" applyAlignment="1" applyProtection="1">
      <alignment horizontal="right" vertical="center" readingOrder="2"/>
    </xf>
    <xf numFmtId="165" fontId="40" fillId="7" borderId="235" xfId="14" applyNumberFormat="1" applyFont="1" applyFill="1" applyBorder="1" applyAlignment="1" applyProtection="1">
      <alignment horizontal="right" vertical="center" shrinkToFit="1" readingOrder="2"/>
    </xf>
    <xf numFmtId="165" fontId="40" fillId="7" borderId="236" xfId="14" applyNumberFormat="1" applyFont="1" applyFill="1" applyBorder="1" applyAlignment="1" applyProtection="1">
      <alignment horizontal="right" vertical="center" shrinkToFit="1" readingOrder="2"/>
    </xf>
    <xf numFmtId="4" fontId="32" fillId="3" borderId="8" xfId="14" applyNumberFormat="1" applyFont="1" applyFill="1" applyBorder="1" applyAlignment="1" applyProtection="1">
      <alignment horizontal="right" vertical="center" readingOrder="2"/>
    </xf>
    <xf numFmtId="4" fontId="32" fillId="3" borderId="0" xfId="14" applyNumberFormat="1" applyFont="1" applyFill="1" applyBorder="1" applyAlignment="1" applyProtection="1">
      <alignment horizontal="right" vertical="center" readingOrder="2"/>
    </xf>
    <xf numFmtId="4" fontId="32" fillId="3" borderId="9" xfId="14" applyNumberFormat="1" applyFont="1" applyFill="1" applyBorder="1" applyAlignment="1" applyProtection="1">
      <alignment horizontal="right" vertical="center" readingOrder="2"/>
    </xf>
    <xf numFmtId="0" fontId="61" fillId="6" borderId="237" xfId="14" applyFont="1" applyFill="1" applyBorder="1" applyAlignment="1" applyProtection="1">
      <alignment horizontal="right" vertical="center" wrapText="1"/>
      <protection locked="0"/>
    </xf>
    <xf numFmtId="0" fontId="114" fillId="6" borderId="232" xfId="14" applyFont="1" applyFill="1" applyBorder="1" applyAlignment="1" applyProtection="1">
      <alignment horizontal="right" vertical="center" wrapText="1"/>
      <protection locked="0"/>
    </xf>
    <xf numFmtId="0" fontId="4" fillId="2" borderId="0" xfId="14" applyFont="1" applyFill="1" applyAlignment="1">
      <alignment horizontal="right" vertical="center"/>
    </xf>
    <xf numFmtId="37" fontId="34" fillId="6" borderId="0" xfId="19" applyNumberFormat="1" applyFont="1" applyFill="1" applyBorder="1" applyAlignment="1" applyProtection="1">
      <alignment horizontal="right" vertical="center" shrinkToFit="1" readingOrder="2"/>
      <protection locked="0"/>
    </xf>
    <xf numFmtId="0" fontId="4" fillId="17" borderId="0" xfId="14" applyFill="1"/>
    <xf numFmtId="165" fontId="34" fillId="7" borderId="238" xfId="26" applyNumberFormat="1" applyFont="1" applyFill="1" applyBorder="1" applyAlignment="1" applyProtection="1">
      <alignment horizontal="right" vertical="center" shrinkToFit="1" readingOrder="2"/>
    </xf>
    <xf numFmtId="167" fontId="34" fillId="7" borderId="238" xfId="26" applyNumberFormat="1" applyFont="1" applyFill="1" applyBorder="1" applyAlignment="1" applyProtection="1">
      <alignment horizontal="right" vertical="center" shrinkToFit="1" readingOrder="2"/>
    </xf>
    <xf numFmtId="165" fontId="32" fillId="8" borderId="68" xfId="19" applyNumberFormat="1" applyFont="1" applyFill="1" applyBorder="1" applyAlignment="1" applyProtection="1">
      <alignment horizontal="right" vertical="center" shrinkToFit="1" readingOrder="2"/>
      <protection locked="0"/>
    </xf>
    <xf numFmtId="0" fontId="32" fillId="6" borderId="0" xfId="14" applyFont="1" applyFill="1" applyBorder="1" applyAlignment="1" applyProtection="1">
      <alignment horizontal="right" vertical="center" shrinkToFit="1" readingOrder="2"/>
    </xf>
    <xf numFmtId="165" fontId="34" fillId="9" borderId="172" xfId="8" applyNumberFormat="1" applyFont="1" applyFill="1" applyBorder="1" applyAlignment="1" applyProtection="1">
      <alignment horizontal="right" vertical="center" shrinkToFit="1" readingOrder="2"/>
    </xf>
    <xf numFmtId="165" fontId="32" fillId="8" borderId="69" xfId="19" applyNumberFormat="1" applyFont="1" applyFill="1" applyBorder="1" applyAlignment="1" applyProtection="1">
      <alignment horizontal="right" vertical="center" shrinkToFit="1" readingOrder="2"/>
      <protection locked="0"/>
    </xf>
    <xf numFmtId="49" fontId="32" fillId="6" borderId="0" xfId="8" applyNumberFormat="1" applyFont="1" applyFill="1" applyBorder="1" applyAlignment="1" applyProtection="1">
      <alignment horizontal="right" vertical="center" readingOrder="2"/>
    </xf>
    <xf numFmtId="165" fontId="32" fillId="9" borderId="239" xfId="19" applyNumberFormat="1" applyFont="1" applyFill="1" applyBorder="1" applyAlignment="1" applyProtection="1">
      <alignment horizontal="right" vertical="center" shrinkToFit="1" readingOrder="2"/>
    </xf>
    <xf numFmtId="165" fontId="32" fillId="9" borderId="101" xfId="19" applyNumberFormat="1" applyFont="1" applyFill="1" applyBorder="1" applyAlignment="1" applyProtection="1">
      <alignment horizontal="right" vertical="center" shrinkToFit="1" readingOrder="2"/>
    </xf>
    <xf numFmtId="165" fontId="34" fillId="9" borderId="240" xfId="8" applyNumberFormat="1" applyFont="1" applyFill="1" applyBorder="1" applyAlignment="1" applyProtection="1">
      <alignment horizontal="right" vertical="center" shrinkToFit="1" readingOrder="2"/>
    </xf>
    <xf numFmtId="165" fontId="34" fillId="9" borderId="241" xfId="8" applyNumberFormat="1" applyFont="1" applyFill="1" applyBorder="1" applyAlignment="1" applyProtection="1">
      <alignment horizontal="right" vertical="center" shrinkToFit="1" readingOrder="2"/>
    </xf>
    <xf numFmtId="165" fontId="34" fillId="7" borderId="171" xfId="8" applyNumberFormat="1" applyFont="1" applyFill="1" applyBorder="1" applyAlignment="1" applyProtection="1">
      <alignment horizontal="right" vertical="center" shrinkToFit="1" readingOrder="2"/>
    </xf>
    <xf numFmtId="49" fontId="32" fillId="6" borderId="8" xfId="8" applyNumberFormat="1" applyFont="1" applyFill="1" applyBorder="1" applyAlignment="1" applyProtection="1">
      <alignment horizontal="right" vertical="center" readingOrder="2"/>
    </xf>
    <xf numFmtId="170" fontId="35" fillId="6" borderId="8" xfId="8" applyNumberFormat="1" applyFont="1" applyFill="1" applyBorder="1" applyAlignment="1" applyProtection="1">
      <alignment horizontal="right" vertical="center" readingOrder="2"/>
    </xf>
    <xf numFmtId="165" fontId="32" fillId="2" borderId="44" xfId="8" applyNumberFormat="1" applyFont="1" applyFill="1" applyBorder="1" applyAlignment="1" applyProtection="1">
      <alignment horizontal="right" vertical="center" shrinkToFit="1" readingOrder="2"/>
    </xf>
    <xf numFmtId="165" fontId="32" fillId="8" borderId="72" xfId="19" applyNumberFormat="1" applyFont="1" applyFill="1" applyBorder="1" applyAlignment="1" applyProtection="1">
      <alignment horizontal="right" vertical="center" shrinkToFit="1" readingOrder="2"/>
      <protection locked="0"/>
    </xf>
    <xf numFmtId="165" fontId="32" fillId="9" borderId="92" xfId="19" applyNumberFormat="1" applyFont="1" applyFill="1" applyBorder="1" applyAlignment="1" applyProtection="1">
      <alignment horizontal="right" vertical="center" shrinkToFit="1" readingOrder="2"/>
    </xf>
    <xf numFmtId="0" fontId="35" fillId="2" borderId="29" xfId="26" applyNumberFormat="1" applyFont="1" applyFill="1" applyBorder="1" applyAlignment="1" applyProtection="1">
      <alignment horizontal="right" vertical="center" shrinkToFit="1" readingOrder="2"/>
    </xf>
    <xf numFmtId="0" fontId="35" fillId="2" borderId="29" xfId="14" applyNumberFormat="1" applyFont="1" applyFill="1" applyBorder="1" applyAlignment="1" applyProtection="1">
      <alignment horizontal="right" vertical="center" shrinkToFit="1" readingOrder="2"/>
    </xf>
    <xf numFmtId="0" fontId="51" fillId="2" borderId="0" xfId="14" applyNumberFormat="1" applyFont="1" applyFill="1" applyBorder="1" applyAlignment="1" applyProtection="1">
      <alignment horizontal="right" vertical="center" shrinkToFit="1" readingOrder="2"/>
    </xf>
    <xf numFmtId="0" fontId="51" fillId="2" borderId="67" xfId="14" applyNumberFormat="1" applyFont="1" applyFill="1" applyBorder="1" applyAlignment="1" applyProtection="1">
      <alignment horizontal="right" vertical="center" shrinkToFit="1" readingOrder="2"/>
    </xf>
    <xf numFmtId="165" fontId="34" fillId="2" borderId="46" xfId="26" applyNumberFormat="1" applyFont="1" applyFill="1" applyBorder="1" applyAlignment="1" applyProtection="1">
      <alignment horizontal="right" vertical="center" shrinkToFit="1" readingOrder="2"/>
    </xf>
    <xf numFmtId="188" fontId="35" fillId="2" borderId="0" xfId="14" applyNumberFormat="1" applyFont="1" applyFill="1" applyBorder="1" applyAlignment="1" applyProtection="1">
      <alignment horizontal="right" vertical="center" shrinkToFit="1" readingOrder="2"/>
    </xf>
    <xf numFmtId="0" fontId="37" fillId="5" borderId="8" xfId="17" applyFont="1" applyFill="1" applyBorder="1" applyAlignment="1" applyProtection="1">
      <alignment horizontal="center" vertical="center" readingOrder="2"/>
    </xf>
    <xf numFmtId="0" fontId="37" fillId="5" borderId="9" xfId="17" applyFont="1" applyFill="1" applyBorder="1" applyAlignment="1" applyProtection="1">
      <alignment horizontal="center" vertical="center" readingOrder="2"/>
    </xf>
    <xf numFmtId="0" fontId="37" fillId="5" borderId="0" xfId="17" applyFont="1" applyFill="1" applyAlignment="1" applyProtection="1">
      <alignment horizontal="center" vertical="center" readingOrder="2"/>
    </xf>
    <xf numFmtId="0" fontId="37" fillId="5" borderId="0" xfId="17" applyFont="1" applyFill="1" applyBorder="1" applyAlignment="1" applyProtection="1">
      <alignment horizontal="center" vertical="center" readingOrder="2"/>
    </xf>
    <xf numFmtId="0" fontId="37" fillId="5" borderId="0" xfId="17" applyFont="1" applyFill="1" applyBorder="1" applyAlignment="1" applyProtection="1">
      <alignment horizontal="center" vertical="center" wrapText="1" readingOrder="2"/>
    </xf>
    <xf numFmtId="0" fontId="37" fillId="5" borderId="0" xfId="17" applyNumberFormat="1" applyFont="1" applyFill="1" applyAlignment="1" applyProtection="1">
      <alignment horizontal="center" vertical="center" shrinkToFit="1" readingOrder="2"/>
    </xf>
    <xf numFmtId="165" fontId="35" fillId="2" borderId="167" xfId="29" applyNumberFormat="1" applyFont="1" applyFill="1" applyBorder="1" applyAlignment="1" applyProtection="1">
      <alignment horizontal="right" vertical="center" shrinkToFit="1" readingOrder="2"/>
    </xf>
    <xf numFmtId="0" fontId="34" fillId="6" borderId="3" xfId="20" applyFont="1" applyFill="1" applyBorder="1" applyAlignment="1" applyProtection="1">
      <alignment horizontal="right" vertical="center" readingOrder="2"/>
      <protection locked="0"/>
    </xf>
    <xf numFmtId="0" fontId="34" fillId="6" borderId="0" xfId="24" applyFont="1" applyFill="1" applyAlignment="1" applyProtection="1">
      <alignment horizontal="right" vertical="center"/>
    </xf>
    <xf numFmtId="0" fontId="34" fillId="2" borderId="0" xfId="29" applyFont="1" applyFill="1" applyBorder="1" applyAlignment="1" applyProtection="1">
      <alignment horizontal="right" vertical="top" wrapText="1" readingOrder="2"/>
    </xf>
    <xf numFmtId="14" fontId="27" fillId="5" borderId="6" xfId="19" applyNumberFormat="1" applyFont="1" applyFill="1" applyBorder="1" applyAlignment="1" applyProtection="1">
      <alignment horizontal="right" vertical="center" shrinkToFit="1" readingOrder="2"/>
    </xf>
    <xf numFmtId="14" fontId="29" fillId="2" borderId="0" xfId="19" applyNumberFormat="1" applyFont="1" applyFill="1" applyBorder="1" applyAlignment="1" applyProtection="1">
      <alignment horizontal="right" vertical="center" shrinkToFit="1" readingOrder="2"/>
    </xf>
    <xf numFmtId="0" fontId="59" fillId="5" borderId="6" xfId="19" applyFont="1" applyFill="1" applyBorder="1" applyAlignment="1" applyProtection="1">
      <alignment horizontal="right" vertical="center" shrinkToFit="1" readingOrder="2"/>
    </xf>
    <xf numFmtId="0" fontId="51" fillId="2" borderId="0" xfId="19" applyFont="1" applyFill="1" applyBorder="1" applyAlignment="1" applyProtection="1">
      <alignment horizontal="right" vertical="center" shrinkToFit="1" readingOrder="2"/>
    </xf>
    <xf numFmtId="168" fontId="136" fillId="5" borderId="0" xfId="21" applyNumberFormat="1" applyFont="1" applyFill="1" applyBorder="1" applyAlignment="1" applyProtection="1">
      <alignment horizontal="center" vertical="center" wrapText="1" readingOrder="2"/>
    </xf>
    <xf numFmtId="168" fontId="136" fillId="5" borderId="0" xfId="21" applyNumberFormat="1" applyFont="1" applyFill="1" applyBorder="1" applyAlignment="1" applyProtection="1">
      <alignment horizontal="center" vertical="center" readingOrder="2"/>
    </xf>
    <xf numFmtId="168" fontId="51" fillId="2" borderId="0" xfId="21" applyNumberFormat="1" applyFont="1" applyFill="1" applyBorder="1" applyAlignment="1" applyProtection="1">
      <alignment horizontal="right" vertical="center" readingOrder="2"/>
    </xf>
    <xf numFmtId="0" fontId="51" fillId="6" borderId="0" xfId="14" applyNumberFormat="1" applyFont="1" applyFill="1" applyBorder="1" applyAlignment="1" applyProtection="1">
      <alignment horizontal="right" vertical="center" shrinkToFit="1" readingOrder="2"/>
    </xf>
    <xf numFmtId="0" fontId="56" fillId="6" borderId="0" xfId="14" applyNumberFormat="1" applyFont="1" applyFill="1" applyBorder="1" applyAlignment="1" applyProtection="1">
      <alignment horizontal="right" vertical="center" shrinkToFit="1" readingOrder="2"/>
    </xf>
    <xf numFmtId="0" fontId="22" fillId="17" borderId="0" xfId="11" applyFont="1" applyFill="1" applyBorder="1" applyAlignment="1" applyProtection="1">
      <alignment horizontal="right" vertical="top" readingOrder="2"/>
    </xf>
    <xf numFmtId="0" fontId="51" fillId="17" borderId="0" xfId="14" applyFont="1" applyFill="1"/>
    <xf numFmtId="0" fontId="4" fillId="17" borderId="0" xfId="14" applyFont="1" applyFill="1" applyAlignment="1">
      <alignment horizontal="right" readingOrder="2"/>
    </xf>
    <xf numFmtId="0" fontId="4" fillId="17" borderId="0" xfId="14" applyFill="1" applyAlignment="1">
      <alignment horizontal="right"/>
    </xf>
    <xf numFmtId="0" fontId="4" fillId="0" borderId="0" xfId="14" applyAlignment="1">
      <alignment horizontal="right"/>
    </xf>
    <xf numFmtId="0" fontId="35" fillId="17" borderId="0" xfId="14" applyFont="1" applyFill="1" applyAlignment="1">
      <alignment horizontal="right"/>
    </xf>
    <xf numFmtId="0" fontId="133" fillId="0" borderId="0" xfId="14" applyFont="1" applyAlignment="1">
      <alignment horizontal="right"/>
    </xf>
    <xf numFmtId="0" fontId="32" fillId="3" borderId="0" xfId="14" applyFont="1" applyFill="1" applyAlignment="1" applyProtection="1">
      <alignment horizontal="center" vertical="center" readingOrder="2"/>
      <protection locked="0"/>
    </xf>
    <xf numFmtId="0" fontId="38" fillId="2" borderId="0" xfId="14" applyFont="1" applyFill="1" applyAlignment="1" applyProtection="1">
      <alignment horizontal="center" vertical="center" readingOrder="2"/>
    </xf>
    <xf numFmtId="0" fontId="4" fillId="3" borderId="0" xfId="14" applyFill="1" applyBorder="1" applyAlignment="1">
      <alignment horizontal="center" vertical="center" readingOrder="2"/>
    </xf>
    <xf numFmtId="0" fontId="51" fillId="3" borderId="0" xfId="14" applyFont="1" applyFill="1" applyAlignment="1" applyProtection="1">
      <alignment horizontal="center" vertical="center" readingOrder="2"/>
      <protection locked="0"/>
    </xf>
    <xf numFmtId="0" fontId="32" fillId="2" borderId="25" xfId="14" applyFont="1" applyFill="1" applyBorder="1" applyAlignment="1">
      <alignment horizontal="center" vertical="center" readingOrder="2"/>
    </xf>
    <xf numFmtId="0" fontId="32" fillId="2" borderId="0" xfId="14" applyFont="1" applyFill="1" applyBorder="1" applyAlignment="1">
      <alignment horizontal="center" vertical="center" readingOrder="2"/>
    </xf>
    <xf numFmtId="0" fontId="32" fillId="2" borderId="0" xfId="14" applyFont="1" applyFill="1" applyAlignment="1">
      <alignment horizontal="center" vertical="center" readingOrder="2"/>
    </xf>
    <xf numFmtId="0" fontId="4" fillId="3" borderId="0" xfId="14" applyFont="1" applyFill="1"/>
    <xf numFmtId="0" fontId="82" fillId="3" borderId="0" xfId="14" applyFont="1" applyFill="1" applyAlignment="1" applyProtection="1">
      <alignment horizontal="right" vertical="center" wrapText="1" readingOrder="2"/>
      <protection locked="0"/>
    </xf>
    <xf numFmtId="0" fontId="32" fillId="3" borderId="53" xfId="14" applyFont="1" applyFill="1" applyBorder="1" applyAlignment="1" applyProtection="1">
      <alignment horizontal="right" vertical="center" readingOrder="2"/>
      <protection locked="0"/>
    </xf>
    <xf numFmtId="0" fontId="32" fillId="3" borderId="9" xfId="14" applyFont="1" applyFill="1" applyBorder="1" applyAlignment="1" applyProtection="1">
      <alignment horizontal="right" vertical="center" readingOrder="2"/>
      <protection locked="0"/>
    </xf>
    <xf numFmtId="10" fontId="32" fillId="3" borderId="0" xfId="14" applyNumberFormat="1" applyFont="1" applyFill="1" applyBorder="1" applyAlignment="1" applyProtection="1">
      <alignment horizontal="right" vertical="center" readingOrder="2"/>
      <protection locked="0"/>
    </xf>
    <xf numFmtId="165" fontId="32" fillId="6" borderId="0" xfId="17" applyNumberFormat="1" applyFont="1" applyFill="1" applyBorder="1" applyAlignment="1" applyProtection="1">
      <alignment horizontal="right" vertical="center" shrinkToFit="1" readingOrder="2"/>
    </xf>
    <xf numFmtId="165" fontId="34" fillId="2" borderId="45" xfId="26" applyNumberFormat="1" applyFont="1" applyFill="1" applyBorder="1" applyAlignment="1" applyProtection="1">
      <alignment horizontal="right" vertical="center" readingOrder="2"/>
    </xf>
    <xf numFmtId="0" fontId="34" fillId="6" borderId="3" xfId="26" applyFont="1" applyFill="1" applyBorder="1" applyAlignment="1" applyProtection="1">
      <alignment horizontal="right" vertical="center" readingOrder="2"/>
      <protection locked="0"/>
    </xf>
    <xf numFmtId="165" fontId="35" fillId="2" borderId="1" xfId="8" applyNumberFormat="1" applyFont="1" applyFill="1" applyBorder="1" applyAlignment="1" applyProtection="1">
      <alignment horizontal="right" vertical="center" shrinkToFit="1" readingOrder="2"/>
    </xf>
    <xf numFmtId="165" fontId="34" fillId="7" borderId="0" xfId="8" applyNumberFormat="1" applyFont="1" applyFill="1" applyBorder="1" applyAlignment="1" applyProtection="1">
      <alignment horizontal="right" vertical="center" shrinkToFit="1" readingOrder="2"/>
    </xf>
    <xf numFmtId="3" fontId="34" fillId="6" borderId="9" xfId="14" applyNumberFormat="1" applyFont="1" applyFill="1" applyBorder="1" applyAlignment="1" applyProtection="1">
      <alignment horizontal="right" vertical="center" readingOrder="2"/>
      <protection locked="0"/>
    </xf>
    <xf numFmtId="0" fontId="59" fillId="5" borderId="88" xfId="20" applyFont="1" applyFill="1" applyBorder="1" applyAlignment="1" applyProtection="1">
      <alignment horizontal="right" vertical="center" readingOrder="2"/>
    </xf>
    <xf numFmtId="0" fontId="37" fillId="5" borderId="242" xfId="20" applyFont="1" applyFill="1" applyBorder="1" applyAlignment="1" applyProtection="1">
      <alignment horizontal="right" vertical="center" readingOrder="2"/>
    </xf>
    <xf numFmtId="0" fontId="37" fillId="5" borderId="7" xfId="20" applyFont="1" applyFill="1" applyBorder="1" applyAlignment="1" applyProtection="1">
      <alignment horizontal="right" vertical="center" readingOrder="2"/>
    </xf>
    <xf numFmtId="165" fontId="35" fillId="2" borderId="0" xfId="24" applyNumberFormat="1" applyFont="1" applyFill="1" applyBorder="1" applyAlignment="1" applyProtection="1">
      <alignment horizontal="right" vertical="center" readingOrder="2"/>
    </xf>
    <xf numFmtId="10" fontId="35" fillId="2" borderId="0" xfId="24" applyNumberFormat="1" applyFont="1" applyFill="1" applyBorder="1" applyAlignment="1" applyProtection="1">
      <alignment horizontal="right" vertical="center" readingOrder="2"/>
    </xf>
    <xf numFmtId="10" fontId="35" fillId="2" borderId="48" xfId="24" applyNumberFormat="1" applyFont="1" applyFill="1" applyBorder="1" applyAlignment="1" applyProtection="1">
      <alignment horizontal="right" vertical="center" readingOrder="2"/>
    </xf>
    <xf numFmtId="0" fontId="56" fillId="6" borderId="8" xfId="14" applyFont="1" applyFill="1" applyBorder="1" applyAlignment="1" applyProtection="1">
      <alignment horizontal="right" vertical="center" wrapText="1" readingOrder="2"/>
      <protection locked="0"/>
    </xf>
    <xf numFmtId="165" fontId="34" fillId="7" borderId="155" xfId="14" quotePrefix="1" applyNumberFormat="1" applyFont="1" applyFill="1" applyBorder="1" applyAlignment="1" applyProtection="1">
      <alignment horizontal="right" vertical="center" shrinkToFit="1" readingOrder="2"/>
    </xf>
    <xf numFmtId="0" fontId="4" fillId="6" borderId="8" xfId="14" applyFont="1" applyFill="1" applyBorder="1" applyAlignment="1" applyProtection="1">
      <alignment horizontal="right" vertical="center" readingOrder="2"/>
      <protection locked="0"/>
    </xf>
    <xf numFmtId="4" fontId="32" fillId="8" borderId="73" xfId="14" applyNumberFormat="1" applyFont="1" applyFill="1" applyBorder="1" applyAlignment="1" applyProtection="1">
      <alignment horizontal="right" vertical="center" shrinkToFit="1" readingOrder="2"/>
      <protection locked="0"/>
    </xf>
    <xf numFmtId="4" fontId="34" fillId="7" borderId="14" xfId="29" applyNumberFormat="1" applyFont="1" applyFill="1" applyBorder="1" applyAlignment="1" applyProtection="1">
      <alignment horizontal="right" vertical="center" shrinkToFit="1" readingOrder="2"/>
    </xf>
    <xf numFmtId="4" fontId="34" fillId="7" borderId="15" xfId="24" applyNumberFormat="1" applyFont="1" applyFill="1" applyBorder="1" applyAlignment="1" applyProtection="1">
      <alignment horizontal="right" vertical="center" shrinkToFit="1" readingOrder="2"/>
    </xf>
    <xf numFmtId="4" fontId="34" fillId="7" borderId="121" xfId="29" applyNumberFormat="1" applyFont="1" applyFill="1" applyBorder="1" applyAlignment="1" applyProtection="1">
      <alignment horizontal="right" vertical="center" shrinkToFit="1" readingOrder="2"/>
    </xf>
    <xf numFmtId="4" fontId="40" fillId="7" borderId="76" xfId="27" applyNumberFormat="1" applyFont="1" applyFill="1" applyBorder="1" applyAlignment="1">
      <alignment horizontal="right" vertical="center" shrinkToFit="1" readingOrder="2"/>
    </xf>
    <xf numFmtId="4" fontId="35" fillId="2" borderId="14" xfId="30" applyNumberFormat="1" applyFont="1" applyFill="1" applyBorder="1" applyAlignment="1" applyProtection="1">
      <alignment horizontal="right" vertical="center" shrinkToFit="1" readingOrder="2"/>
    </xf>
    <xf numFmtId="4" fontId="35" fillId="2" borderId="14" xfId="30" applyNumberFormat="1" applyFont="1" applyFill="1" applyBorder="1" applyAlignment="1" applyProtection="1">
      <alignment horizontal="right" vertical="center" readingOrder="2"/>
    </xf>
    <xf numFmtId="165" fontId="35" fillId="2" borderId="14" xfId="30" applyNumberFormat="1" applyFont="1" applyFill="1" applyBorder="1" applyAlignment="1" applyProtection="1">
      <alignment horizontal="right" vertical="center" shrinkToFit="1" readingOrder="2"/>
    </xf>
    <xf numFmtId="4" fontId="4" fillId="2" borderId="0" xfId="14" applyNumberFormat="1" applyFill="1" applyAlignment="1" applyProtection="1">
      <alignment horizontal="right" vertical="center" readingOrder="2"/>
    </xf>
    <xf numFmtId="0" fontId="4" fillId="2" borderId="0" xfId="14" applyFont="1" applyFill="1"/>
    <xf numFmtId="0" fontId="114" fillId="6" borderId="243" xfId="14" applyFont="1" applyFill="1" applyBorder="1" applyAlignment="1">
      <alignment horizontal="right" vertical="center"/>
    </xf>
    <xf numFmtId="165" fontId="4" fillId="6" borderId="220" xfId="14" applyNumberFormat="1" applyFill="1" applyBorder="1" applyAlignment="1">
      <alignment horizontal="right" vertical="center" shrinkToFit="1"/>
    </xf>
    <xf numFmtId="0" fontId="4" fillId="6" borderId="244" xfId="14" applyFill="1" applyBorder="1" applyAlignment="1">
      <alignment horizontal="right" vertical="center" wrapText="1"/>
    </xf>
    <xf numFmtId="0" fontId="61" fillId="6" borderId="245" xfId="14" applyFont="1" applyFill="1" applyBorder="1" applyAlignment="1" applyProtection="1">
      <alignment horizontal="right" vertical="center" wrapText="1"/>
      <protection locked="0"/>
    </xf>
    <xf numFmtId="0" fontId="4" fillId="6" borderId="246" xfId="14" applyFont="1" applyFill="1" applyBorder="1" applyAlignment="1">
      <alignment horizontal="right" vertical="center" wrapText="1"/>
    </xf>
    <xf numFmtId="0" fontId="4" fillId="6" borderId="246" xfId="14" applyFont="1" applyFill="1" applyBorder="1" applyAlignment="1">
      <alignment horizontal="right" vertical="center" wrapText="1" readingOrder="2"/>
    </xf>
    <xf numFmtId="0" fontId="4" fillId="6" borderId="244" xfId="14" applyFont="1" applyFill="1" applyBorder="1" applyAlignment="1">
      <alignment horizontal="right" vertical="center" wrapText="1"/>
    </xf>
    <xf numFmtId="10" fontId="82" fillId="6" borderId="188" xfId="14" applyNumberFormat="1" applyFont="1" applyFill="1" applyBorder="1" applyAlignment="1">
      <alignment horizontal="right" vertical="center" shrinkToFit="1"/>
    </xf>
    <xf numFmtId="0" fontId="67" fillId="5" borderId="8" xfId="32" applyFont="1" applyFill="1" applyBorder="1" applyAlignment="1" applyProtection="1">
      <alignment horizontal="right" vertical="center" readingOrder="2"/>
    </xf>
    <xf numFmtId="0" fontId="4" fillId="6" borderId="231" xfId="14" applyFont="1" applyFill="1" applyBorder="1" applyAlignment="1">
      <alignment horizontal="right" vertical="center" wrapText="1"/>
    </xf>
    <xf numFmtId="165" fontId="34" fillId="9" borderId="106" xfId="31" applyNumberFormat="1" applyFont="1" applyFill="1" applyBorder="1" applyAlignment="1" applyProtection="1">
      <alignment horizontal="right" vertical="center" shrinkToFit="1" readingOrder="2"/>
    </xf>
    <xf numFmtId="0" fontId="4" fillId="6" borderId="192" xfId="14" applyFont="1" applyFill="1" applyBorder="1" applyAlignment="1">
      <alignment horizontal="right" vertical="center" wrapText="1"/>
    </xf>
    <xf numFmtId="0" fontId="4" fillId="6" borderId="194" xfId="14" applyFont="1" applyFill="1" applyBorder="1" applyAlignment="1">
      <alignment horizontal="right" vertical="center" wrapText="1"/>
    </xf>
    <xf numFmtId="0" fontId="111" fillId="6" borderId="246" xfId="14" applyFont="1" applyFill="1" applyBorder="1" applyAlignment="1">
      <alignment horizontal="right" vertical="center" wrapText="1" readingOrder="2"/>
    </xf>
    <xf numFmtId="0" fontId="111" fillId="6" borderId="192" xfId="14" applyFont="1" applyFill="1" applyBorder="1" applyAlignment="1">
      <alignment horizontal="right" vertical="center" wrapText="1" readingOrder="2"/>
    </xf>
    <xf numFmtId="0" fontId="4" fillId="6" borderId="184" xfId="14" applyFont="1" applyFill="1" applyBorder="1" applyAlignment="1">
      <alignment horizontal="right" vertical="center" readingOrder="2"/>
    </xf>
    <xf numFmtId="0" fontId="4" fillId="2" borderId="0" xfId="14" applyFont="1" applyFill="1" applyAlignment="1" applyProtection="1">
      <alignment horizontal="right" vertical="center" readingOrder="2"/>
    </xf>
    <xf numFmtId="165" fontId="34" fillId="9" borderId="67" xfId="31" applyNumberFormat="1" applyFont="1" applyFill="1" applyBorder="1" applyAlignment="1" applyProtection="1">
      <alignment horizontal="right" vertical="center" shrinkToFit="1" readingOrder="2"/>
    </xf>
    <xf numFmtId="165" fontId="34" fillId="7" borderId="247" xfId="31" applyNumberFormat="1" applyFont="1" applyFill="1" applyBorder="1" applyAlignment="1" applyProtection="1">
      <alignment horizontal="right" vertical="center" shrinkToFit="1" readingOrder="2"/>
    </xf>
    <xf numFmtId="0" fontId="4" fillId="6" borderId="246" xfId="14" applyFill="1" applyBorder="1" applyAlignment="1">
      <alignment horizontal="right" vertical="center" wrapText="1"/>
    </xf>
    <xf numFmtId="0" fontId="35" fillId="6" borderId="248" xfId="14" applyFont="1" applyFill="1" applyBorder="1" applyAlignment="1">
      <alignment horizontal="right" vertical="center"/>
    </xf>
    <xf numFmtId="165" fontId="82" fillId="6" borderId="249" xfId="14" applyNumberFormat="1" applyFont="1" applyFill="1" applyBorder="1" applyAlignment="1">
      <alignment horizontal="right" vertical="center" shrinkToFit="1"/>
    </xf>
    <xf numFmtId="165" fontId="4" fillId="9" borderId="221" xfId="14" applyNumberFormat="1" applyFont="1" applyFill="1" applyBorder="1" applyAlignment="1">
      <alignment horizontal="right" vertical="center" shrinkToFit="1"/>
    </xf>
    <xf numFmtId="0" fontId="4" fillId="6" borderId="231" xfId="14" applyFill="1" applyBorder="1" applyAlignment="1">
      <alignment horizontal="right" vertical="center" wrapText="1" readingOrder="2"/>
    </xf>
    <xf numFmtId="0" fontId="4" fillId="6" borderId="231" xfId="14" applyFont="1" applyFill="1" applyBorder="1" applyAlignment="1">
      <alignment horizontal="right" vertical="center" wrapText="1" readingOrder="2"/>
    </xf>
    <xf numFmtId="165" fontId="32" fillId="3" borderId="0" xfId="17" applyNumberFormat="1" applyFont="1" applyFill="1" applyBorder="1" applyAlignment="1" applyProtection="1">
      <alignment horizontal="right" vertical="center" readingOrder="2"/>
      <protection locked="0"/>
    </xf>
    <xf numFmtId="0" fontId="32" fillId="6" borderId="0" xfId="14" applyNumberFormat="1" applyFont="1" applyFill="1" applyBorder="1" applyAlignment="1" applyProtection="1">
      <alignment horizontal="right" vertical="center" readingOrder="2"/>
      <protection locked="0"/>
    </xf>
    <xf numFmtId="0" fontId="22" fillId="3" borderId="0" xfId="14" applyFont="1" applyFill="1" applyAlignment="1" applyProtection="1">
      <alignment horizontal="right" vertical="center" wrapText="1" readingOrder="2"/>
    </xf>
    <xf numFmtId="0" fontId="111" fillId="4" borderId="0" xfId="14" applyFont="1" applyFill="1" applyBorder="1" applyAlignment="1" applyProtection="1">
      <alignment horizontal="right" vertical="center" readingOrder="2"/>
    </xf>
    <xf numFmtId="0" fontId="111" fillId="3" borderId="0" xfId="14" applyFont="1" applyFill="1" applyAlignment="1" applyProtection="1">
      <alignment horizontal="right" vertical="center" readingOrder="2"/>
    </xf>
    <xf numFmtId="0" fontId="111" fillId="5" borderId="0" xfId="14" applyFont="1" applyFill="1" applyBorder="1" applyAlignment="1" applyProtection="1">
      <alignment horizontal="right" vertical="center" readingOrder="2"/>
    </xf>
    <xf numFmtId="0" fontId="146" fillId="5" borderId="0" xfId="14" applyFont="1" applyFill="1" applyBorder="1" applyAlignment="1" applyProtection="1">
      <alignment horizontal="right" vertical="center" readingOrder="2"/>
    </xf>
    <xf numFmtId="0" fontId="111" fillId="6" borderId="9" xfId="14" applyFont="1" applyFill="1" applyBorder="1" applyAlignment="1" applyProtection="1">
      <alignment horizontal="right" vertical="center" readingOrder="2"/>
    </xf>
    <xf numFmtId="0" fontId="111" fillId="6" borderId="9" xfId="14" applyFont="1" applyFill="1" applyBorder="1" applyAlignment="1" applyProtection="1">
      <alignment horizontal="right" vertical="center" readingOrder="2"/>
      <protection locked="0"/>
    </xf>
    <xf numFmtId="0" fontId="111" fillId="6" borderId="21" xfId="14" applyFont="1" applyFill="1" applyBorder="1" applyAlignment="1" applyProtection="1">
      <alignment horizontal="right" vertical="center" readingOrder="2"/>
    </xf>
    <xf numFmtId="0" fontId="111" fillId="3" borderId="0" xfId="14" applyFont="1" applyFill="1" applyBorder="1" applyAlignment="1" applyProtection="1">
      <alignment horizontal="right" vertical="center" readingOrder="2"/>
    </xf>
    <xf numFmtId="0" fontId="111" fillId="2" borderId="25" xfId="14" applyFont="1" applyFill="1" applyBorder="1" applyAlignment="1" applyProtection="1">
      <alignment horizontal="right" vertical="center" readingOrder="2"/>
    </xf>
    <xf numFmtId="0" fontId="111" fillId="2" borderId="0" xfId="14" applyFont="1" applyFill="1" applyAlignment="1" applyProtection="1">
      <alignment horizontal="center" vertical="center" readingOrder="2"/>
    </xf>
    <xf numFmtId="0" fontId="111" fillId="2" borderId="0" xfId="14" applyFont="1" applyFill="1" applyBorder="1" applyAlignment="1" applyProtection="1">
      <alignment horizontal="right" vertical="center" readingOrder="2"/>
    </xf>
    <xf numFmtId="165" fontId="111" fillId="2" borderId="0" xfId="17" applyNumberFormat="1" applyFont="1" applyFill="1" applyBorder="1" applyAlignment="1" applyProtection="1">
      <alignment horizontal="right" vertical="center" shrinkToFit="1" readingOrder="2"/>
    </xf>
    <xf numFmtId="0" fontId="47" fillId="6" borderId="8" xfId="19" applyNumberFormat="1" applyFont="1" applyFill="1" applyBorder="1" applyAlignment="1" applyProtection="1">
      <alignment horizontal="right" vertical="center" shrinkToFit="1" readingOrder="2"/>
      <protection locked="0"/>
    </xf>
    <xf numFmtId="0" fontId="34" fillId="6" borderId="9" xfId="14" applyFont="1" applyFill="1" applyBorder="1" applyAlignment="1" applyProtection="1">
      <alignment horizontal="right" vertical="center" readingOrder="2"/>
      <protection locked="0"/>
    </xf>
    <xf numFmtId="0" fontId="34" fillId="3" borderId="0" xfId="24" applyFont="1" applyFill="1" applyAlignment="1" applyProtection="1">
      <alignment horizontal="right" vertical="center" readingOrder="2"/>
      <protection locked="0"/>
    </xf>
    <xf numFmtId="0" fontId="51" fillId="3" borderId="0" xfId="14" applyFont="1" applyFill="1" applyAlignment="1" applyProtection="1">
      <alignment horizontal="center" vertical="center" readingOrder="2"/>
    </xf>
    <xf numFmtId="0" fontId="22" fillId="3" borderId="0" xfId="11" applyFont="1" applyFill="1" applyBorder="1" applyAlignment="1" applyProtection="1">
      <alignment horizontal="right" shrinkToFit="1" readingOrder="2"/>
    </xf>
    <xf numFmtId="165" fontId="34" fillId="7" borderId="250" xfId="25" applyNumberFormat="1" applyFont="1" applyFill="1" applyBorder="1" applyAlignment="1" applyProtection="1">
      <alignment horizontal="right" vertical="center" shrinkToFit="1" readingOrder="2"/>
    </xf>
    <xf numFmtId="0" fontId="34" fillId="3" borderId="0" xfId="20" applyFont="1" applyFill="1" applyBorder="1" applyAlignment="1" applyProtection="1">
      <alignment horizontal="right" vertical="center" shrinkToFit="1" readingOrder="2"/>
      <protection locked="0"/>
    </xf>
    <xf numFmtId="0" fontId="112" fillId="2" borderId="0" xfId="14" applyFont="1" applyFill="1" applyBorder="1" applyAlignment="1" applyProtection="1">
      <alignment horizontal="right" vertical="center" readingOrder="2"/>
    </xf>
    <xf numFmtId="0" fontId="34" fillId="18" borderId="251" xfId="25" applyFont="1" applyFill="1" applyBorder="1" applyAlignment="1" applyProtection="1">
      <alignment horizontal="right" vertical="center" shrinkToFit="1" readingOrder="2"/>
    </xf>
    <xf numFmtId="165" fontId="34" fillId="18" borderId="69" xfId="25" applyNumberFormat="1" applyFont="1" applyFill="1" applyBorder="1" applyAlignment="1" applyProtection="1">
      <alignment horizontal="right" vertical="center" shrinkToFit="1" readingOrder="2"/>
    </xf>
    <xf numFmtId="9" fontId="34" fillId="7" borderId="10" xfId="33" applyNumberFormat="1" applyFont="1" applyFill="1" applyBorder="1" applyAlignment="1" applyProtection="1">
      <alignment horizontal="right" vertical="center" shrinkToFit="1" readingOrder="2"/>
    </xf>
    <xf numFmtId="9" fontId="34" fillId="9" borderId="14" xfId="33" applyNumberFormat="1" applyFont="1" applyFill="1" applyBorder="1" applyAlignment="1" applyProtection="1">
      <alignment horizontal="right" vertical="center" shrinkToFit="1" readingOrder="2"/>
    </xf>
    <xf numFmtId="9" fontId="34" fillId="7" borderId="117" xfId="33" applyNumberFormat="1" applyFont="1" applyFill="1" applyBorder="1" applyAlignment="1" applyProtection="1">
      <alignment horizontal="right" vertical="center" readingOrder="2"/>
    </xf>
    <xf numFmtId="9" fontId="34" fillId="9" borderId="121" xfId="33" applyNumberFormat="1" applyFont="1" applyFill="1" applyBorder="1" applyAlignment="1" applyProtection="1">
      <alignment horizontal="right" vertical="center" readingOrder="2"/>
    </xf>
    <xf numFmtId="9" fontId="32" fillId="2" borderId="24" xfId="14" applyNumberFormat="1" applyFont="1" applyFill="1" applyBorder="1" applyAlignment="1" applyProtection="1">
      <alignment horizontal="right" vertical="center" readingOrder="2"/>
    </xf>
    <xf numFmtId="9" fontId="32" fillId="2" borderId="47" xfId="14" applyNumberFormat="1" applyFont="1" applyFill="1" applyBorder="1" applyAlignment="1" applyProtection="1">
      <alignment horizontal="right" vertical="center" readingOrder="2"/>
    </xf>
    <xf numFmtId="0" fontId="114" fillId="6" borderId="252" xfId="14" applyFont="1" applyFill="1" applyBorder="1" applyAlignment="1">
      <alignment horizontal="right" vertical="center"/>
    </xf>
    <xf numFmtId="165" fontId="32" fillId="7" borderId="253" xfId="14" applyNumberFormat="1" applyFont="1" applyFill="1" applyBorder="1" applyAlignment="1" applyProtection="1">
      <alignment horizontal="right" vertical="center" shrinkToFit="1" readingOrder="2"/>
    </xf>
    <xf numFmtId="165" fontId="32" fillId="7" borderId="254" xfId="14" applyNumberFormat="1" applyFont="1" applyFill="1" applyBorder="1" applyAlignment="1" applyProtection="1">
      <alignment horizontal="right" vertical="center" shrinkToFit="1" readingOrder="2"/>
    </xf>
    <xf numFmtId="165" fontId="91" fillId="2" borderId="24" xfId="14" applyNumberFormat="1" applyFont="1" applyFill="1" applyBorder="1" applyAlignment="1" applyProtection="1">
      <alignment horizontal="right" vertical="center" readingOrder="2"/>
    </xf>
    <xf numFmtId="165" fontId="91" fillId="2" borderId="47" xfId="14" applyNumberFormat="1" applyFont="1" applyFill="1" applyBorder="1" applyAlignment="1" applyProtection="1">
      <alignment horizontal="right" vertical="center" readingOrder="2"/>
    </xf>
    <xf numFmtId="49" fontId="51" fillId="3" borderId="0" xfId="14" applyNumberFormat="1" applyFont="1" applyFill="1" applyAlignment="1" applyProtection="1">
      <alignment horizontal="center" vertical="center" readingOrder="2"/>
      <protection locked="0"/>
    </xf>
    <xf numFmtId="49" fontId="32" fillId="3" borderId="0" xfId="14" applyNumberFormat="1" applyFont="1" applyFill="1" applyAlignment="1" applyProtection="1">
      <alignment horizontal="center" vertical="center" readingOrder="2"/>
      <protection locked="0"/>
    </xf>
    <xf numFmtId="49" fontId="32" fillId="3" borderId="0" xfId="14" applyNumberFormat="1" applyFont="1" applyFill="1" applyAlignment="1" applyProtection="1">
      <alignment horizontal="center" vertical="center" wrapText="1" readingOrder="2"/>
      <protection locked="0"/>
    </xf>
    <xf numFmtId="9" fontId="32" fillId="2" borderId="0" xfId="33" applyNumberFormat="1" applyFont="1" applyFill="1" applyBorder="1" applyAlignment="1" applyProtection="1">
      <alignment horizontal="right" vertical="center" shrinkToFit="1" readingOrder="2"/>
    </xf>
    <xf numFmtId="9" fontId="32" fillId="2" borderId="0" xfId="24" applyNumberFormat="1" applyFont="1" applyFill="1" applyBorder="1" applyAlignment="1" applyProtection="1">
      <alignment horizontal="right" vertical="center" shrinkToFit="1" readingOrder="2"/>
    </xf>
    <xf numFmtId="9" fontId="34" fillId="2" borderId="0" xfId="24" applyNumberFormat="1" applyFont="1" applyFill="1" applyBorder="1" applyAlignment="1" applyProtection="1">
      <alignment horizontal="right" vertical="center" readingOrder="2"/>
    </xf>
    <xf numFmtId="9" fontId="34" fillId="2" borderId="14" xfId="24" applyNumberFormat="1" applyFont="1" applyFill="1" applyBorder="1" applyAlignment="1" applyProtection="1">
      <alignment horizontal="right" vertical="center" readingOrder="2"/>
    </xf>
    <xf numFmtId="0" fontId="4" fillId="0" borderId="0" xfId="14" applyFont="1"/>
    <xf numFmtId="3" fontId="147" fillId="6" borderId="0" xfId="20" applyNumberFormat="1" applyFont="1" applyFill="1" applyBorder="1" applyAlignment="1" applyProtection="1">
      <alignment horizontal="right" vertical="center" readingOrder="2"/>
    </xf>
    <xf numFmtId="0" fontId="112" fillId="2" borderId="0" xfId="20" applyNumberFormat="1" applyFont="1" applyFill="1" applyBorder="1" applyAlignment="1" applyProtection="1">
      <alignment horizontal="right" vertical="center" readingOrder="2"/>
    </xf>
    <xf numFmtId="0" fontId="37" fillId="5" borderId="255" xfId="14" applyFont="1" applyFill="1" applyBorder="1" applyAlignment="1">
      <alignment horizontal="center" vertical="center"/>
    </xf>
    <xf numFmtId="0" fontId="148" fillId="6" borderId="88" xfId="11" applyFont="1" applyFill="1" applyBorder="1" applyAlignment="1" applyProtection="1">
      <alignment horizontal="right" vertical="center"/>
    </xf>
    <xf numFmtId="0" fontId="148" fillId="6" borderId="88" xfId="11" applyFont="1" applyFill="1" applyBorder="1" applyAlignment="1" applyProtection="1">
      <alignment horizontal="right" vertical="center" wrapText="1"/>
    </xf>
    <xf numFmtId="0" fontId="152" fillId="6" borderId="88" xfId="11" applyFont="1" applyFill="1" applyBorder="1" applyAlignment="1" applyProtection="1">
      <alignment horizontal="right" vertical="center"/>
    </xf>
    <xf numFmtId="0" fontId="152" fillId="6" borderId="89" xfId="11" applyFont="1" applyFill="1" applyBorder="1" applyAlignment="1" applyProtection="1">
      <alignment horizontal="right" vertical="center"/>
    </xf>
    <xf numFmtId="0" fontId="37" fillId="5" borderId="256" xfId="14" applyFont="1" applyFill="1" applyBorder="1" applyAlignment="1">
      <alignment horizontal="center" vertical="center"/>
    </xf>
    <xf numFmtId="0" fontId="148" fillId="6" borderId="88" xfId="11" applyFont="1" applyFill="1" applyBorder="1" applyAlignment="1" applyProtection="1">
      <alignment horizontal="right" vertical="center" readingOrder="2"/>
    </xf>
    <xf numFmtId="0" fontId="37" fillId="5" borderId="133" xfId="14" applyFont="1" applyFill="1" applyBorder="1" applyAlignment="1">
      <alignment horizontal="center" vertical="center"/>
    </xf>
    <xf numFmtId="0" fontId="37" fillId="5" borderId="215" xfId="11" applyFont="1" applyFill="1" applyBorder="1" applyAlignment="1" applyProtection="1">
      <alignment horizontal="center" vertical="center"/>
    </xf>
    <xf numFmtId="0" fontId="55" fillId="4" borderId="0" xfId="14" applyFont="1" applyFill="1" applyAlignment="1">
      <alignment horizontal="left" vertical="center"/>
    </xf>
    <xf numFmtId="0" fontId="154" fillId="6" borderId="88" xfId="11" applyFont="1" applyFill="1" applyBorder="1" applyAlignment="1" applyProtection="1">
      <alignment horizontal="right" vertical="center"/>
    </xf>
    <xf numFmtId="0" fontId="38" fillId="2" borderId="0" xfId="23" applyFont="1" applyFill="1" applyAlignment="1" applyProtection="1">
      <alignment horizontal="center" vertical="center" readingOrder="2"/>
    </xf>
    <xf numFmtId="0" fontId="18" fillId="4" borderId="0" xfId="23" applyFont="1" applyFill="1" applyAlignment="1" applyProtection="1">
      <alignment vertical="center" readingOrder="2"/>
    </xf>
    <xf numFmtId="165" fontId="37" fillId="5" borderId="0" xfId="23" applyNumberFormat="1" applyFont="1" applyFill="1" applyBorder="1" applyAlignment="1" applyProtection="1">
      <alignment horizontal="right" vertical="center" readingOrder="2"/>
    </xf>
    <xf numFmtId="165" fontId="51" fillId="6" borderId="0" xfId="23" applyNumberFormat="1" applyFont="1" applyFill="1" applyBorder="1" applyAlignment="1" applyProtection="1">
      <alignment horizontal="right" vertical="center" readingOrder="2"/>
    </xf>
    <xf numFmtId="165" fontId="34" fillId="6" borderId="0" xfId="23" applyNumberFormat="1" applyFont="1" applyFill="1" applyBorder="1" applyAlignment="1" applyProtection="1">
      <alignment horizontal="right" vertical="center" readingOrder="2"/>
    </xf>
    <xf numFmtId="170" fontId="55" fillId="4" borderId="2" xfId="8" applyNumberFormat="1" applyFont="1" applyFill="1" applyBorder="1" applyAlignment="1" applyProtection="1">
      <alignment vertical="center" readingOrder="2"/>
    </xf>
    <xf numFmtId="170" fontId="38" fillId="4" borderId="0" xfId="8" applyNumberFormat="1" applyFont="1" applyFill="1" applyBorder="1" applyAlignment="1" applyProtection="1">
      <alignment vertical="center" readingOrder="2"/>
    </xf>
    <xf numFmtId="0" fontId="4" fillId="2" borderId="0" xfId="14" applyFill="1" applyBorder="1" applyAlignment="1">
      <alignment horizontal="center" vertical="center" readingOrder="2"/>
    </xf>
    <xf numFmtId="0" fontId="51" fillId="2" borderId="0" xfId="28" applyFont="1" applyFill="1" applyBorder="1" applyAlignment="1">
      <alignment horizontal="center" vertical="center" readingOrder="2"/>
    </xf>
    <xf numFmtId="189" fontId="34" fillId="7" borderId="50" xfId="23" applyNumberFormat="1" applyFont="1" applyFill="1" applyBorder="1" applyAlignment="1" applyProtection="1">
      <alignment horizontal="right" vertical="center" shrinkToFit="1" readingOrder="2"/>
    </xf>
    <xf numFmtId="190" fontId="4" fillId="7" borderId="128" xfId="14" applyNumberFormat="1" applyFont="1" applyFill="1" applyBorder="1" applyAlignment="1">
      <alignment horizontal="right" vertical="center" shrinkToFit="1" readingOrder="1"/>
    </xf>
    <xf numFmtId="190" fontId="34" fillId="7" borderId="119" xfId="24" applyNumberFormat="1" applyFont="1" applyFill="1" applyBorder="1" applyAlignment="1" applyProtection="1">
      <alignment horizontal="right" vertical="center" readingOrder="2"/>
    </xf>
    <xf numFmtId="165" fontId="34" fillId="9" borderId="15" xfId="23" applyNumberFormat="1" applyFont="1" applyFill="1" applyBorder="1" applyAlignment="1" applyProtection="1">
      <alignment horizontal="right" vertical="center" shrinkToFit="1" readingOrder="2"/>
    </xf>
    <xf numFmtId="189" fontId="34" fillId="9" borderId="15" xfId="23" applyNumberFormat="1" applyFont="1" applyFill="1" applyBorder="1" applyAlignment="1" applyProtection="1">
      <alignment horizontal="right" vertical="center" shrinkToFit="1" readingOrder="2"/>
    </xf>
    <xf numFmtId="190" fontId="34" fillId="9" borderId="15" xfId="23" applyNumberFormat="1" applyFont="1" applyFill="1" applyBorder="1" applyAlignment="1" applyProtection="1">
      <alignment horizontal="right" vertical="center" shrinkToFit="1" readingOrder="2"/>
    </xf>
    <xf numFmtId="190" fontId="34" fillId="9" borderId="63" xfId="23" applyNumberFormat="1" applyFont="1" applyFill="1" applyBorder="1" applyAlignment="1" applyProtection="1">
      <alignment horizontal="right" vertical="center" shrinkToFit="1" readingOrder="2"/>
    </xf>
    <xf numFmtId="0" fontId="34" fillId="6" borderId="0" xfId="23" applyFont="1" applyFill="1" applyBorder="1" applyAlignment="1" applyProtection="1">
      <alignment horizontal="right" vertical="center" readingOrder="2"/>
    </xf>
    <xf numFmtId="0" fontId="34" fillId="6" borderId="0" xfId="23" applyFont="1" applyFill="1" applyBorder="1" applyAlignment="1" applyProtection="1">
      <alignment horizontal="right" vertical="center" wrapText="1" readingOrder="2"/>
    </xf>
    <xf numFmtId="0" fontId="35" fillId="2" borderId="0" xfId="14" applyFont="1" applyFill="1" applyAlignment="1" applyProtection="1">
      <alignment horizontal="center" vertical="center" readingOrder="2"/>
    </xf>
    <xf numFmtId="190" fontId="34" fillId="2" borderId="0" xfId="14" applyNumberFormat="1" applyFont="1" applyFill="1" applyAlignment="1" applyProtection="1">
      <alignment horizontal="right" vertical="center" readingOrder="2"/>
    </xf>
    <xf numFmtId="190" fontId="34" fillId="2" borderId="15" xfId="14" applyNumberFormat="1" applyFont="1" applyFill="1" applyBorder="1" applyAlignment="1" applyProtection="1">
      <alignment horizontal="right" vertical="center" readingOrder="2"/>
    </xf>
    <xf numFmtId="165" fontId="37" fillId="5" borderId="6" xfId="28" applyNumberFormat="1" applyFont="1" applyFill="1" applyBorder="1" applyAlignment="1">
      <alignment horizontal="right" vertical="center" readingOrder="2"/>
    </xf>
    <xf numFmtId="165" fontId="34" fillId="6" borderId="0" xfId="23" applyNumberFormat="1" applyFont="1" applyFill="1" applyBorder="1" applyAlignment="1">
      <alignment horizontal="right" vertical="center" readingOrder="2"/>
    </xf>
    <xf numFmtId="165" fontId="34" fillId="6" borderId="0" xfId="23" applyNumberFormat="1" applyFont="1" applyFill="1" applyBorder="1" applyAlignment="1">
      <alignment horizontal="right" vertical="center" wrapText="1" readingOrder="2"/>
    </xf>
    <xf numFmtId="1" fontId="37" fillId="5" borderId="6" xfId="8" applyNumberFormat="1" applyFont="1" applyFill="1" applyBorder="1" applyAlignment="1">
      <alignment horizontal="center" vertical="center" readingOrder="2"/>
    </xf>
    <xf numFmtId="1" fontId="37" fillId="5" borderId="6" xfId="28" applyNumberFormat="1" applyFont="1" applyFill="1" applyBorder="1" applyAlignment="1">
      <alignment horizontal="center" vertical="center" readingOrder="2"/>
    </xf>
    <xf numFmtId="165" fontId="37" fillId="5" borderId="7" xfId="28" applyNumberFormat="1" applyFont="1" applyFill="1" applyBorder="1" applyAlignment="1">
      <alignment horizontal="center" vertical="center" readingOrder="2"/>
    </xf>
    <xf numFmtId="165" fontId="34" fillId="6" borderId="3" xfId="28" applyNumberFormat="1" applyFont="1" applyFill="1" applyBorder="1" applyAlignment="1" applyProtection="1">
      <alignment horizontal="right" vertical="center" readingOrder="2"/>
      <protection locked="0"/>
    </xf>
    <xf numFmtId="165" fontId="40" fillId="6" borderId="0" xfId="28" applyNumberFormat="1" applyFont="1" applyFill="1" applyBorder="1" applyAlignment="1">
      <alignment horizontal="right" vertical="center" shrinkToFit="1" readingOrder="2"/>
    </xf>
    <xf numFmtId="165" fontId="37" fillId="5" borderId="0" xfId="28" applyNumberFormat="1" applyFont="1" applyFill="1" applyBorder="1" applyAlignment="1">
      <alignment horizontal="right" vertical="center" shrinkToFit="1" readingOrder="2"/>
    </xf>
    <xf numFmtId="184" fontId="40" fillId="2" borderId="0" xfId="28" applyNumberFormat="1" applyFont="1" applyFill="1" applyBorder="1" applyAlignment="1">
      <alignment horizontal="right" vertical="center" shrinkToFit="1" readingOrder="2"/>
    </xf>
    <xf numFmtId="165" fontId="34" fillId="6" borderId="0" xfId="28" applyNumberFormat="1" applyFont="1" applyFill="1" applyBorder="1" applyAlignment="1" applyProtection="1">
      <alignment horizontal="right" vertical="center" readingOrder="2"/>
      <protection locked="0"/>
    </xf>
    <xf numFmtId="165" fontId="92" fillId="4" borderId="2" xfId="23" applyNumberFormat="1" applyFont="1" applyFill="1" applyBorder="1" applyAlignment="1">
      <alignment vertical="center" readingOrder="2"/>
    </xf>
    <xf numFmtId="165" fontId="92" fillId="4" borderId="0" xfId="23" applyNumberFormat="1" applyFont="1" applyFill="1" applyBorder="1" applyAlignment="1">
      <alignment vertical="center" readingOrder="2"/>
    </xf>
    <xf numFmtId="165" fontId="92" fillId="4" borderId="4" xfId="23" applyNumberFormat="1" applyFont="1" applyFill="1" applyBorder="1" applyAlignment="1">
      <alignment vertical="center" readingOrder="2"/>
    </xf>
    <xf numFmtId="165" fontId="35" fillId="2" borderId="0" xfId="23" applyNumberFormat="1" applyFont="1" applyFill="1" applyBorder="1" applyAlignment="1">
      <alignment horizontal="right" vertical="center" shrinkToFit="1" readingOrder="2"/>
    </xf>
    <xf numFmtId="165" fontId="35" fillId="2" borderId="0" xfId="28" applyNumberFormat="1" applyFont="1" applyFill="1" applyAlignment="1">
      <alignment horizontal="right" vertical="center" readingOrder="2"/>
    </xf>
    <xf numFmtId="184" fontId="35" fillId="2" borderId="0" xfId="23" applyNumberFormat="1" applyFont="1" applyFill="1" applyBorder="1" applyAlignment="1">
      <alignment horizontal="right" vertical="center" shrinkToFit="1" readingOrder="2"/>
    </xf>
    <xf numFmtId="165" fontId="35" fillId="2" borderId="0" xfId="28" applyNumberFormat="1" applyFont="1" applyFill="1" applyAlignment="1">
      <alignment horizontal="center" vertical="center" readingOrder="2"/>
    </xf>
    <xf numFmtId="165" fontId="35" fillId="2" borderId="0" xfId="28" applyNumberFormat="1" applyFont="1" applyFill="1" applyAlignment="1">
      <alignment horizontal="right" vertical="center" wrapText="1" readingOrder="2"/>
    </xf>
    <xf numFmtId="165" fontId="35" fillId="2" borderId="0" xfId="28" applyNumberFormat="1" applyFont="1" applyFill="1" applyAlignment="1">
      <alignment horizontal="center" vertical="center" wrapText="1" readingOrder="2"/>
    </xf>
    <xf numFmtId="3" fontId="38" fillId="2" borderId="0" xfId="24" applyNumberFormat="1" applyFont="1" applyFill="1" applyAlignment="1" applyProtection="1">
      <alignment vertical="center" readingOrder="2"/>
    </xf>
    <xf numFmtId="165" fontId="35" fillId="2" borderId="24" xfId="28" applyNumberFormat="1" applyFont="1" applyFill="1" applyBorder="1" applyAlignment="1">
      <alignment horizontal="right" vertical="center" readingOrder="2"/>
    </xf>
    <xf numFmtId="0" fontId="114" fillId="6" borderId="0" xfId="14" applyFont="1" applyFill="1" applyBorder="1" applyAlignment="1">
      <alignment horizontal="right" vertical="center"/>
    </xf>
    <xf numFmtId="0" fontId="4" fillId="6" borderId="0" xfId="14" applyFill="1" applyBorder="1" applyAlignment="1">
      <alignment horizontal="right" vertical="center" wrapText="1"/>
    </xf>
    <xf numFmtId="0" fontId="4" fillId="6" borderId="0" xfId="14" applyFill="1" applyBorder="1" applyAlignment="1">
      <alignment horizontal="right" vertical="center" wrapText="1" readingOrder="2"/>
    </xf>
    <xf numFmtId="0" fontId="4" fillId="6" borderId="0" xfId="14" applyFill="1" applyBorder="1" applyAlignment="1">
      <alignment horizontal="right" vertical="center"/>
    </xf>
    <xf numFmtId="165" fontId="4" fillId="6" borderId="0" xfId="14" applyNumberFormat="1" applyFill="1" applyBorder="1" applyAlignment="1">
      <alignment horizontal="right" vertical="center" shrinkToFit="1"/>
    </xf>
    <xf numFmtId="0" fontId="35" fillId="6" borderId="0" xfId="14" applyFont="1" applyFill="1" applyBorder="1" applyAlignment="1">
      <alignment horizontal="right" vertical="center"/>
    </xf>
    <xf numFmtId="165" fontId="82" fillId="6" borderId="0" xfId="14" applyNumberFormat="1" applyFont="1" applyFill="1" applyBorder="1" applyAlignment="1">
      <alignment horizontal="right" vertical="center" shrinkToFit="1"/>
    </xf>
    <xf numFmtId="165" fontId="61" fillId="6" borderId="0" xfId="14" applyNumberFormat="1" applyFont="1" applyFill="1" applyBorder="1" applyAlignment="1">
      <alignment horizontal="right" vertical="center" wrapText="1"/>
    </xf>
    <xf numFmtId="0" fontId="61" fillId="6" borderId="0" xfId="14" applyFont="1" applyFill="1" applyBorder="1" applyAlignment="1" applyProtection="1">
      <alignment horizontal="right" vertical="center" wrapText="1"/>
      <protection locked="0"/>
    </xf>
    <xf numFmtId="0" fontId="4" fillId="6" borderId="246" xfId="14" applyFill="1" applyBorder="1" applyAlignment="1">
      <alignment horizontal="right" vertical="center"/>
    </xf>
    <xf numFmtId="0" fontId="4" fillId="6" borderId="244" xfId="14" applyFont="1" applyFill="1" applyBorder="1" applyAlignment="1">
      <alignment horizontal="right" vertical="center"/>
    </xf>
    <xf numFmtId="0" fontId="4" fillId="6" borderId="178" xfId="14" applyFont="1" applyFill="1" applyBorder="1" applyAlignment="1">
      <alignment horizontal="right" vertical="center" wrapText="1"/>
    </xf>
    <xf numFmtId="0" fontId="4" fillId="6" borderId="189" xfId="14" applyFont="1" applyFill="1" applyBorder="1" applyAlignment="1">
      <alignment horizontal="right" vertical="center" wrapText="1"/>
    </xf>
    <xf numFmtId="0" fontId="4" fillId="6" borderId="198" xfId="14" applyFont="1" applyFill="1" applyBorder="1" applyAlignment="1">
      <alignment horizontal="right" vertical="center"/>
    </xf>
    <xf numFmtId="0" fontId="61" fillId="6" borderId="257" xfId="14" applyFont="1" applyFill="1" applyBorder="1" applyAlignment="1" applyProtection="1">
      <alignment horizontal="right" vertical="center" wrapText="1"/>
      <protection locked="0"/>
    </xf>
    <xf numFmtId="0" fontId="34" fillId="6" borderId="8" xfId="29" applyFont="1" applyFill="1" applyBorder="1" applyAlignment="1" applyProtection="1">
      <alignment horizontal="right" vertical="center" wrapText="1" readingOrder="2"/>
      <protection locked="0"/>
    </xf>
    <xf numFmtId="0" fontId="147" fillId="6" borderId="37" xfId="14" applyFont="1" applyFill="1" applyBorder="1" applyAlignment="1" applyProtection="1">
      <alignment horizontal="right" vertical="center" readingOrder="2"/>
    </xf>
    <xf numFmtId="0" fontId="112" fillId="2" borderId="45" xfId="14" applyFont="1" applyFill="1" applyBorder="1" applyAlignment="1" applyProtection="1">
      <alignment horizontal="right" vertical="center" readingOrder="2"/>
    </xf>
    <xf numFmtId="0" fontId="51" fillId="2" borderId="0" xfId="17" applyFont="1" applyFill="1" applyAlignment="1" applyProtection="1">
      <alignment horizontal="center" vertical="center" readingOrder="2"/>
    </xf>
    <xf numFmtId="0" fontId="37" fillId="5" borderId="0" xfId="14" applyFont="1" applyFill="1" applyBorder="1" applyAlignment="1" applyProtection="1">
      <alignment horizontal="center" vertical="center" readingOrder="2"/>
    </xf>
    <xf numFmtId="0" fontId="37" fillId="5" borderId="9" xfId="14" applyFont="1" applyFill="1" applyBorder="1" applyAlignment="1" applyProtection="1">
      <alignment horizontal="center" vertical="center" readingOrder="2"/>
    </xf>
    <xf numFmtId="0" fontId="35" fillId="2" borderId="0" xfId="14" applyFont="1" applyFill="1" applyBorder="1" applyAlignment="1" applyProtection="1">
      <alignment horizontal="center" vertical="center" readingOrder="2"/>
    </xf>
    <xf numFmtId="0" fontId="32" fillId="2" borderId="0" xfId="17" applyFont="1" applyFill="1" applyAlignment="1" applyProtection="1">
      <alignment vertical="center" readingOrder="2"/>
    </xf>
    <xf numFmtId="0" fontId="32" fillId="2" borderId="0" xfId="19" applyFont="1" applyFill="1" applyAlignment="1" applyProtection="1">
      <alignment vertical="center" readingOrder="2"/>
    </xf>
    <xf numFmtId="0" fontId="28" fillId="5" borderId="5" xfId="14" applyFont="1" applyFill="1" applyBorder="1" applyAlignment="1">
      <alignment horizontal="center" vertical="center" readingOrder="2"/>
    </xf>
    <xf numFmtId="3" fontId="34" fillId="2" borderId="0" xfId="24" applyNumberFormat="1" applyFont="1" applyFill="1" applyBorder="1" applyAlignment="1" applyProtection="1">
      <alignment horizontal="right" vertical="center" readingOrder="2"/>
    </xf>
    <xf numFmtId="0" fontId="35" fillId="2" borderId="0" xfId="24" applyFont="1" applyFill="1" applyBorder="1" applyAlignment="1" applyProtection="1">
      <alignment horizontal="right" vertical="center" readingOrder="2"/>
    </xf>
    <xf numFmtId="3" fontId="35" fillId="2" borderId="0" xfId="24" applyNumberFormat="1" applyFont="1" applyFill="1" applyBorder="1" applyAlignment="1" applyProtection="1">
      <alignment horizontal="right" vertical="center" readingOrder="2"/>
    </xf>
    <xf numFmtId="9" fontId="32" fillId="2" borderId="0" xfId="33" applyNumberFormat="1" applyFont="1" applyFill="1" applyBorder="1" applyAlignment="1" applyProtection="1">
      <alignment horizontal="right" vertical="center" readingOrder="2"/>
    </xf>
    <xf numFmtId="9" fontId="32" fillId="2" borderId="0" xfId="24" applyNumberFormat="1" applyFont="1" applyFill="1" applyBorder="1" applyAlignment="1" applyProtection="1">
      <alignment horizontal="right" vertical="center" readingOrder="2"/>
    </xf>
    <xf numFmtId="0" fontId="32" fillId="3" borderId="0" xfId="14" applyFont="1" applyFill="1" applyAlignment="1" applyProtection="1">
      <alignment vertical="center" readingOrder="2"/>
      <protection locked="0"/>
    </xf>
    <xf numFmtId="0" fontId="32" fillId="2" borderId="0" xfId="14" applyFont="1" applyFill="1" applyAlignment="1" applyProtection="1">
      <alignment vertical="center" readingOrder="2"/>
    </xf>
    <xf numFmtId="0" fontId="51" fillId="2" borderId="0" xfId="14" applyFont="1" applyFill="1" applyAlignment="1" applyProtection="1">
      <alignment vertical="center" readingOrder="2"/>
    </xf>
    <xf numFmtId="189" fontId="34" fillId="7" borderId="10" xfId="30" applyNumberFormat="1" applyFont="1" applyFill="1" applyBorder="1" applyAlignment="1" applyProtection="1">
      <alignment horizontal="right" vertical="center" readingOrder="2"/>
    </xf>
    <xf numFmtId="4" fontId="32" fillId="2" borderId="15" xfId="30" applyNumberFormat="1" applyFont="1" applyFill="1" applyBorder="1" applyAlignment="1" applyProtection="1">
      <alignment horizontal="right" vertical="center" readingOrder="2"/>
    </xf>
    <xf numFmtId="189" fontId="34" fillId="2" borderId="0" xfId="14" applyNumberFormat="1" applyFont="1" applyFill="1" applyAlignment="1" applyProtection="1">
      <alignment horizontal="right" vertical="center" readingOrder="2"/>
    </xf>
    <xf numFmtId="0" fontId="34" fillId="3" borderId="0" xfId="14" applyFont="1" applyFill="1" applyAlignment="1" applyProtection="1">
      <alignment horizontal="right" vertical="center" readingOrder="2"/>
      <protection locked="0"/>
    </xf>
    <xf numFmtId="0" fontId="32" fillId="3" borderId="0" xfId="14" applyFont="1" applyFill="1" applyAlignment="1" applyProtection="1">
      <alignment horizontal="left" vertical="center" indent="6" readingOrder="2"/>
      <protection locked="0"/>
    </xf>
    <xf numFmtId="0" fontId="38" fillId="2" borderId="48" xfId="14" applyFont="1" applyFill="1" applyBorder="1" applyAlignment="1" applyProtection="1">
      <alignment horizontal="right" vertical="center" indent="1" readingOrder="2"/>
    </xf>
    <xf numFmtId="37" fontId="112" fillId="2" borderId="29" xfId="14" applyNumberFormat="1" applyFont="1" applyFill="1" applyBorder="1" applyAlignment="1" applyProtection="1">
      <alignment horizontal="right" vertical="center" readingOrder="2"/>
    </xf>
    <xf numFmtId="0" fontId="112" fillId="2" borderId="29" xfId="14" applyFont="1" applyFill="1" applyBorder="1" applyAlignment="1" applyProtection="1">
      <alignment horizontal="right" vertical="center" readingOrder="2"/>
    </xf>
    <xf numFmtId="165" fontId="32" fillId="2" borderId="15" xfId="14" applyNumberFormat="1" applyFont="1" applyFill="1" applyBorder="1" applyAlignment="1" applyProtection="1">
      <alignment horizontal="right" vertical="center" shrinkToFit="1" readingOrder="2"/>
    </xf>
    <xf numFmtId="165" fontId="34" fillId="7" borderId="70" xfId="32" applyNumberFormat="1" applyFont="1" applyFill="1" applyBorder="1" applyAlignment="1" applyProtection="1">
      <alignment horizontal="right" vertical="center" shrinkToFit="1" readingOrder="2"/>
    </xf>
    <xf numFmtId="165" fontId="89" fillId="2" borderId="15" xfId="14" applyNumberFormat="1" applyFont="1" applyFill="1" applyBorder="1" applyAlignment="1" applyProtection="1">
      <alignment horizontal="right" vertical="center" shrinkToFit="1" readingOrder="2"/>
    </xf>
    <xf numFmtId="165" fontId="89" fillId="2" borderId="150" xfId="14" applyNumberFormat="1" applyFont="1" applyFill="1" applyBorder="1" applyAlignment="1" applyProtection="1">
      <alignment horizontal="right" vertical="center" shrinkToFit="1" readingOrder="2"/>
    </xf>
    <xf numFmtId="1" fontId="35" fillId="3" borderId="0" xfId="14" applyNumberFormat="1" applyFont="1" applyFill="1" applyBorder="1" applyAlignment="1" applyProtection="1">
      <alignment vertical="center" readingOrder="2"/>
    </xf>
    <xf numFmtId="0" fontId="155" fillId="3" borderId="0" xfId="14" applyFont="1" applyFill="1" applyAlignment="1" applyProtection="1">
      <alignment horizontal="right" vertical="center" readingOrder="2"/>
    </xf>
    <xf numFmtId="17" fontId="34" fillId="8" borderId="0" xfId="14" applyNumberFormat="1" applyFont="1" applyFill="1" applyBorder="1" applyAlignment="1" applyProtection="1">
      <alignment horizontal="right" vertical="center" readingOrder="2"/>
      <protection locked="0"/>
    </xf>
    <xf numFmtId="0" fontId="4" fillId="7" borderId="0" xfId="15" applyFill="1" applyBorder="1"/>
    <xf numFmtId="10" fontId="4" fillId="7" borderId="0" xfId="33" applyNumberFormat="1" applyFont="1" applyFill="1" applyBorder="1"/>
    <xf numFmtId="0" fontId="157" fillId="0" borderId="0" xfId="14" applyFont="1"/>
    <xf numFmtId="0" fontId="158" fillId="2" borderId="0" xfId="14" applyFont="1" applyFill="1" applyAlignment="1" applyProtection="1">
      <alignment horizontal="right" vertical="center" readingOrder="2"/>
    </xf>
    <xf numFmtId="0" fontId="35" fillId="3" borderId="0" xfId="19" applyFont="1" applyFill="1" applyAlignment="1" applyProtection="1">
      <alignment horizontal="right" vertical="center" readingOrder="2"/>
      <protection locked="0"/>
    </xf>
    <xf numFmtId="0" fontId="35" fillId="3" borderId="0" xfId="17" applyFont="1" applyFill="1" applyBorder="1" applyAlignment="1" applyProtection="1">
      <alignment horizontal="right" vertical="center" readingOrder="2"/>
      <protection locked="0"/>
    </xf>
    <xf numFmtId="0" fontId="35" fillId="3" borderId="0" xfId="17" applyFont="1" applyFill="1" applyAlignment="1" applyProtection="1">
      <alignment horizontal="right" vertical="center" readingOrder="2"/>
      <protection locked="0"/>
    </xf>
    <xf numFmtId="165" fontId="34" fillId="8" borderId="0" xfId="30" quotePrefix="1" applyNumberFormat="1" applyFont="1" applyFill="1" applyAlignment="1" applyProtection="1">
      <alignment horizontal="right" vertical="center" readingOrder="2"/>
      <protection locked="0"/>
    </xf>
    <xf numFmtId="0" fontId="34" fillId="6" borderId="0" xfId="20" applyFont="1" applyFill="1" applyBorder="1" applyAlignment="1" applyProtection="1">
      <alignment horizontal="right" vertical="center" readingOrder="2"/>
      <protection locked="0"/>
    </xf>
    <xf numFmtId="0" fontId="34" fillId="6" borderId="0" xfId="20" applyFont="1" applyFill="1" applyBorder="1" applyAlignment="1" applyProtection="1">
      <alignment horizontal="right" vertical="center" wrapText="1" readingOrder="2"/>
      <protection locked="0"/>
    </xf>
    <xf numFmtId="4" fontId="4" fillId="7" borderId="0" xfId="15" applyNumberFormat="1" applyFill="1" applyBorder="1"/>
    <xf numFmtId="191" fontId="4" fillId="7" borderId="0" xfId="15" applyNumberFormat="1" applyFill="1" applyBorder="1"/>
    <xf numFmtId="165" fontId="34" fillId="10" borderId="117" xfId="31" applyNumberFormat="1" applyFont="1" applyFill="1" applyBorder="1" applyAlignment="1" applyProtection="1">
      <alignment horizontal="right" vertical="center" shrinkToFit="1" readingOrder="2"/>
      <protection locked="0"/>
    </xf>
    <xf numFmtId="0" fontId="116" fillId="6" borderId="184" xfId="14" applyFont="1" applyFill="1" applyBorder="1" applyAlignment="1">
      <alignment horizontal="right" vertical="center" wrapText="1"/>
    </xf>
    <xf numFmtId="0" fontId="37" fillId="5" borderId="7" xfId="20" applyFont="1" applyFill="1" applyBorder="1" applyAlignment="1" applyProtection="1">
      <alignment horizontal="right" vertical="center" readingOrder="2"/>
      <protection locked="0"/>
    </xf>
    <xf numFmtId="0" fontId="51" fillId="17" borderId="0" xfId="14" applyFont="1" applyFill="1" applyAlignment="1">
      <alignment horizontal="right"/>
    </xf>
    <xf numFmtId="165" fontId="4" fillId="6" borderId="185" xfId="14" applyNumberFormat="1" applyFill="1" applyBorder="1" applyAlignment="1" applyProtection="1">
      <alignment horizontal="right" vertical="center" shrinkToFit="1"/>
    </xf>
    <xf numFmtId="0" fontId="34" fillId="6" borderId="0" xfId="26" applyFont="1" applyFill="1" applyBorder="1" applyAlignment="1" applyProtection="1">
      <alignment horizontal="right" vertical="center" readingOrder="2"/>
      <protection locked="0"/>
    </xf>
    <xf numFmtId="0" fontId="32" fillId="2" borderId="0" xfId="14" applyFont="1" applyFill="1" applyAlignment="1" applyProtection="1">
      <alignment horizontal="right" vertical="center" readingOrder="2"/>
      <protection locked="0"/>
    </xf>
    <xf numFmtId="0" fontId="91" fillId="2" borderId="0" xfId="23" applyNumberFormat="1" applyFont="1" applyFill="1" applyBorder="1" applyAlignment="1" applyProtection="1">
      <alignment horizontal="right" vertical="center" readingOrder="2"/>
    </xf>
    <xf numFmtId="0" fontId="35" fillId="2" borderId="0" xfId="14" applyFont="1" applyFill="1" applyAlignment="1" applyProtection="1">
      <alignment horizontal="right" vertical="center" readingOrder="2"/>
    </xf>
    <xf numFmtId="0" fontId="32" fillId="2" borderId="0" xfId="14" applyFont="1" applyFill="1" applyAlignment="1" applyProtection="1">
      <alignment horizontal="right" vertical="center" readingOrder="2"/>
    </xf>
    <xf numFmtId="165" fontId="61" fillId="6" borderId="246" xfId="14" applyNumberFormat="1" applyFont="1" applyFill="1" applyBorder="1" applyAlignment="1">
      <alignment horizontal="right" vertical="center" wrapText="1"/>
    </xf>
    <xf numFmtId="0" fontId="34" fillId="6" borderId="0" xfId="19" applyFont="1" applyFill="1" applyBorder="1" applyAlignment="1" applyProtection="1">
      <alignment horizontal="right" vertical="center" shrinkToFit="1" readingOrder="2"/>
      <protection locked="0"/>
    </xf>
    <xf numFmtId="0" fontId="4" fillId="6" borderId="246" xfId="14" applyFill="1" applyBorder="1" applyAlignment="1">
      <alignment horizontal="right" vertical="center" wrapText="1" readingOrder="2"/>
    </xf>
    <xf numFmtId="10" fontId="82" fillId="6" borderId="188" xfId="33" applyNumberFormat="1" applyFont="1" applyFill="1" applyBorder="1" applyAlignment="1">
      <alignment horizontal="right" vertical="center" shrinkToFit="1"/>
    </xf>
    <xf numFmtId="0" fontId="4" fillId="6" borderId="270" xfId="14" applyFill="1" applyBorder="1" applyAlignment="1">
      <alignment horizontal="right" vertical="center"/>
    </xf>
    <xf numFmtId="0" fontId="34" fillId="3" borderId="0" xfId="14" applyFont="1" applyFill="1" applyAlignment="1" applyProtection="1">
      <alignment horizontal="right" vertical="center" readingOrder="2"/>
    </xf>
    <xf numFmtId="0" fontId="32" fillId="6" borderId="8" xfId="14" applyFont="1" applyFill="1" applyBorder="1" applyAlignment="1" applyProtection="1">
      <alignment horizontal="right" vertical="center" readingOrder="2"/>
    </xf>
    <xf numFmtId="1" fontId="35" fillId="3" borderId="0" xfId="14" applyNumberFormat="1" applyFont="1" applyFill="1" applyBorder="1" applyAlignment="1" applyProtection="1">
      <alignment horizontal="right" vertical="center" readingOrder="2"/>
    </xf>
    <xf numFmtId="0" fontId="34" fillId="2" borderId="0" xfId="14" applyFont="1" applyFill="1" applyAlignment="1" applyProtection="1">
      <alignment horizontal="right" vertical="center" readingOrder="2"/>
    </xf>
    <xf numFmtId="9" fontId="82" fillId="6" borderId="188" xfId="33" applyFont="1" applyFill="1" applyBorder="1" applyAlignment="1">
      <alignment horizontal="right" vertical="center" shrinkToFit="1"/>
    </xf>
    <xf numFmtId="0" fontId="32" fillId="2" borderId="0" xfId="14" applyFont="1" applyFill="1" applyAlignment="1" applyProtection="1">
      <alignment horizontal="right" vertical="center" readingOrder="2"/>
    </xf>
    <xf numFmtId="0" fontId="34" fillId="2" borderId="0" xfId="14" applyFont="1" applyFill="1" applyAlignment="1" applyProtection="1">
      <alignment horizontal="right" vertical="center" readingOrder="2"/>
    </xf>
    <xf numFmtId="165" fontId="35" fillId="9" borderId="271" xfId="14" applyNumberFormat="1" applyFont="1" applyFill="1" applyBorder="1" applyAlignment="1" applyProtection="1">
      <alignment horizontal="right" vertical="center" shrinkToFit="1" readingOrder="2"/>
    </xf>
    <xf numFmtId="165" fontId="35" fillId="9" borderId="272" xfId="14" applyNumberFormat="1" applyFont="1" applyFill="1" applyBorder="1" applyAlignment="1" applyProtection="1">
      <alignment horizontal="right" vertical="center" shrinkToFit="1" readingOrder="2"/>
    </xf>
    <xf numFmtId="165" fontId="32" fillId="7" borderId="0" xfId="14" applyNumberFormat="1" applyFont="1" applyFill="1" applyBorder="1" applyAlignment="1" applyProtection="1">
      <alignment horizontal="right" vertical="center" shrinkToFit="1" readingOrder="2"/>
    </xf>
    <xf numFmtId="165" fontId="32" fillId="7" borderId="9" xfId="14" applyNumberFormat="1" applyFont="1" applyFill="1" applyBorder="1" applyAlignment="1" applyProtection="1">
      <alignment horizontal="right" vertical="center" shrinkToFit="1" readingOrder="2"/>
    </xf>
    <xf numFmtId="165" fontId="32" fillId="7" borderId="271" xfId="14" applyNumberFormat="1" applyFont="1" applyFill="1" applyBorder="1" applyAlignment="1" applyProtection="1">
      <alignment horizontal="right" vertical="center" shrinkToFit="1" readingOrder="2"/>
    </xf>
    <xf numFmtId="165" fontId="32" fillId="7" borderId="272" xfId="14" applyNumberFormat="1" applyFont="1" applyFill="1" applyBorder="1" applyAlignment="1" applyProtection="1">
      <alignment horizontal="right" vertical="center" shrinkToFit="1" readingOrder="2"/>
    </xf>
    <xf numFmtId="0" fontId="32" fillId="3" borderId="0" xfId="14" applyFont="1" applyFill="1" applyAlignment="1" applyProtection="1">
      <alignment horizontal="right" vertical="center" readingOrder="2"/>
      <protection locked="0"/>
    </xf>
    <xf numFmtId="0" fontId="32" fillId="2" borderId="0" xfId="14" applyFont="1" applyFill="1" applyAlignment="1" applyProtection="1">
      <alignment horizontal="right" vertical="center" readingOrder="2"/>
    </xf>
    <xf numFmtId="165" fontId="35" fillId="2" borderId="43" xfId="14" applyNumberFormat="1" applyFont="1" applyFill="1" applyBorder="1" applyAlignment="1" applyProtection="1">
      <alignment horizontal="right" vertical="center" shrinkToFit="1" readingOrder="2"/>
    </xf>
    <xf numFmtId="165" fontId="35" fillId="2" borderId="67" xfId="14" applyNumberFormat="1" applyFont="1" applyFill="1" applyBorder="1" applyAlignment="1" applyProtection="1">
      <alignment horizontal="right" vertical="center" shrinkToFit="1" readingOrder="2"/>
    </xf>
    <xf numFmtId="165" fontId="89" fillId="2" borderId="43" xfId="14" applyNumberFormat="1" applyFont="1" applyFill="1" applyBorder="1" applyAlignment="1" applyProtection="1">
      <alignment horizontal="right" vertical="center" shrinkToFit="1" readingOrder="2"/>
    </xf>
    <xf numFmtId="1" fontId="91" fillId="2" borderId="0" xfId="14" applyNumberFormat="1" applyFont="1" applyFill="1" applyAlignment="1" applyProtection="1">
      <alignment horizontal="right" vertical="center" readingOrder="2"/>
    </xf>
    <xf numFmtId="0" fontId="35" fillId="6" borderId="248" xfId="14" applyFont="1" applyFill="1" applyBorder="1" applyAlignment="1">
      <alignment horizontal="right" vertical="center" wrapText="1"/>
    </xf>
    <xf numFmtId="0" fontId="4" fillId="6" borderId="274" xfId="14" applyFill="1" applyBorder="1" applyAlignment="1">
      <alignment horizontal="right" vertical="center" wrapText="1"/>
    </xf>
    <xf numFmtId="0" fontId="4" fillId="6" borderId="275" xfId="14" applyFill="1" applyBorder="1" applyAlignment="1">
      <alignment horizontal="right" vertical="center" wrapText="1"/>
    </xf>
    <xf numFmtId="165" fontId="4" fillId="6" borderId="273" xfId="14" applyNumberFormat="1" applyFill="1" applyBorder="1" applyAlignment="1">
      <alignment horizontal="right" vertical="center" shrinkToFit="1"/>
    </xf>
    <xf numFmtId="0" fontId="61" fillId="6" borderId="276" xfId="14" applyFont="1" applyFill="1" applyBorder="1" applyAlignment="1" applyProtection="1">
      <alignment horizontal="right" vertical="center" wrapText="1"/>
      <protection locked="0"/>
    </xf>
    <xf numFmtId="0" fontId="61" fillId="2" borderId="0" xfId="14" applyFont="1" applyFill="1" applyBorder="1" applyAlignment="1">
      <alignment horizontal="right" vertical="center" wrapText="1"/>
    </xf>
    <xf numFmtId="0" fontId="32" fillId="2" borderId="0" xfId="14" applyFont="1" applyFill="1" applyAlignment="1" applyProtection="1">
      <alignment horizontal="right" vertical="center" readingOrder="2"/>
    </xf>
    <xf numFmtId="185" fontId="32" fillId="7" borderId="151" xfId="14" applyNumberFormat="1" applyFont="1" applyFill="1" applyBorder="1" applyAlignment="1" applyProtection="1">
      <alignment horizontal="right" vertical="center" shrinkToFit="1" readingOrder="2"/>
    </xf>
    <xf numFmtId="185" fontId="32" fillId="7" borderId="71" xfId="14" applyNumberFormat="1" applyFont="1" applyFill="1" applyBorder="1" applyAlignment="1" applyProtection="1">
      <alignment horizontal="right" vertical="center" shrinkToFit="1" readingOrder="2"/>
    </xf>
    <xf numFmtId="185" fontId="32" fillId="7" borderId="153" xfId="14" applyNumberFormat="1" applyFont="1" applyFill="1" applyBorder="1" applyAlignment="1" applyProtection="1">
      <alignment horizontal="right" vertical="center" shrinkToFit="1" readingOrder="2"/>
    </xf>
    <xf numFmtId="185" fontId="35" fillId="9" borderId="75" xfId="14" applyNumberFormat="1" applyFont="1" applyFill="1" applyBorder="1" applyAlignment="1" applyProtection="1">
      <alignment horizontal="right" vertical="center" shrinkToFit="1" readingOrder="2"/>
    </xf>
    <xf numFmtId="185" fontId="32" fillId="7" borderId="152" xfId="14" applyNumberFormat="1" applyFont="1" applyFill="1" applyBorder="1" applyAlignment="1" applyProtection="1">
      <alignment horizontal="right" vertical="center" shrinkToFit="1" readingOrder="2"/>
    </xf>
    <xf numFmtId="185" fontId="32" fillId="7" borderId="83" xfId="14" applyNumberFormat="1" applyFont="1" applyFill="1" applyBorder="1" applyAlignment="1" applyProtection="1">
      <alignment horizontal="right" vertical="center" shrinkToFit="1" readingOrder="2"/>
    </xf>
    <xf numFmtId="185" fontId="32" fillId="7" borderId="154" xfId="14" applyNumberFormat="1" applyFont="1" applyFill="1" applyBorder="1" applyAlignment="1" applyProtection="1">
      <alignment horizontal="right" vertical="center" shrinkToFit="1" readingOrder="2"/>
    </xf>
    <xf numFmtId="185" fontId="35" fillId="9" borderId="76" xfId="14" applyNumberFormat="1" applyFont="1" applyFill="1" applyBorder="1" applyAlignment="1" applyProtection="1">
      <alignment horizontal="right" vertical="center" shrinkToFit="1" readingOrder="2"/>
    </xf>
    <xf numFmtId="185" fontId="34" fillId="7" borderId="151" xfId="14" applyNumberFormat="1" applyFont="1" applyFill="1" applyBorder="1" applyAlignment="1" applyProtection="1">
      <alignment horizontal="right" vertical="center" shrinkToFit="1" readingOrder="2"/>
    </xf>
    <xf numFmtId="185" fontId="34" fillId="7" borderId="71" xfId="14" applyNumberFormat="1" applyFont="1" applyFill="1" applyBorder="1" applyAlignment="1" applyProtection="1">
      <alignment horizontal="right" vertical="center" shrinkToFit="1" readingOrder="2"/>
    </xf>
    <xf numFmtId="185" fontId="34" fillId="7" borderId="73" xfId="14" applyNumberFormat="1" applyFont="1" applyFill="1" applyBorder="1" applyAlignment="1" applyProtection="1">
      <alignment horizontal="right" vertical="center" shrinkToFit="1" readingOrder="2"/>
    </xf>
    <xf numFmtId="185" fontId="34" fillId="7" borderId="153" xfId="14" applyNumberFormat="1" applyFont="1" applyFill="1" applyBorder="1" applyAlignment="1" applyProtection="1">
      <alignment horizontal="right" vertical="center" shrinkToFit="1" readingOrder="2"/>
    </xf>
    <xf numFmtId="185" fontId="40" fillId="9" borderId="75" xfId="14" applyNumberFormat="1" applyFont="1" applyFill="1" applyBorder="1" applyAlignment="1" applyProtection="1">
      <alignment horizontal="right" vertical="center" shrinkToFit="1" readingOrder="2"/>
    </xf>
    <xf numFmtId="185" fontId="34" fillId="7" borderId="152" xfId="14" applyNumberFormat="1" applyFont="1" applyFill="1" applyBorder="1" applyAlignment="1" applyProtection="1">
      <alignment horizontal="right" vertical="center" shrinkToFit="1" readingOrder="2"/>
    </xf>
    <xf numFmtId="185" fontId="34" fillId="7" borderId="83" xfId="14" applyNumberFormat="1" applyFont="1" applyFill="1" applyBorder="1" applyAlignment="1" applyProtection="1">
      <alignment horizontal="right" vertical="center" shrinkToFit="1" readingOrder="2"/>
    </xf>
    <xf numFmtId="185" fontId="40" fillId="9" borderId="76" xfId="14" applyNumberFormat="1" applyFont="1" applyFill="1" applyBorder="1" applyAlignment="1" applyProtection="1">
      <alignment horizontal="right" vertical="center" shrinkToFit="1" readingOrder="2"/>
    </xf>
    <xf numFmtId="0" fontId="147" fillId="6" borderId="8" xfId="14" applyFont="1" applyFill="1" applyBorder="1" applyAlignment="1" applyProtection="1">
      <alignment horizontal="right" vertical="center" shrinkToFit="1" readingOrder="2"/>
    </xf>
    <xf numFmtId="0" fontId="34" fillId="6" borderId="8" xfId="14" applyFont="1" applyFill="1" applyBorder="1" applyAlignment="1" applyProtection="1">
      <alignment horizontal="right" vertical="center" wrapText="1" shrinkToFit="1" readingOrder="2"/>
    </xf>
    <xf numFmtId="165" fontId="32" fillId="7" borderId="75" xfId="14" applyNumberFormat="1" applyFont="1" applyFill="1" applyBorder="1" applyAlignment="1" applyProtection="1">
      <alignment horizontal="right" vertical="center" shrinkToFit="1" readingOrder="2"/>
    </xf>
    <xf numFmtId="10" fontId="82" fillId="6" borderId="249" xfId="33" applyNumberFormat="1" applyFont="1" applyFill="1" applyBorder="1" applyAlignment="1">
      <alignment horizontal="right" vertical="center" shrinkToFit="1"/>
    </xf>
    <xf numFmtId="189" fontId="4" fillId="6" borderId="185" xfId="14" applyNumberFormat="1" applyFill="1" applyBorder="1" applyAlignment="1">
      <alignment horizontal="right" vertical="center" shrinkToFit="1"/>
    </xf>
    <xf numFmtId="189" fontId="82" fillId="6" borderId="188" xfId="14" applyNumberFormat="1" applyFont="1" applyFill="1" applyBorder="1" applyAlignment="1">
      <alignment horizontal="right" vertical="center" shrinkToFit="1"/>
    </xf>
    <xf numFmtId="0" fontId="34" fillId="2" borderId="0" xfId="14" applyFont="1" applyFill="1" applyAlignment="1" applyProtection="1">
      <alignment horizontal="right" vertical="center" readingOrder="2"/>
    </xf>
    <xf numFmtId="0" fontId="0" fillId="0" borderId="0" xfId="0" applyFill="1" applyProtection="1"/>
    <xf numFmtId="0" fontId="91" fillId="0" borderId="0" xfId="0" applyFont="1" applyFill="1" applyBorder="1" applyAlignment="1" applyProtection="1">
      <alignment vertical="center"/>
      <protection locked="0"/>
    </xf>
    <xf numFmtId="0" fontId="91" fillId="0" borderId="0" xfId="0" applyFont="1" applyFill="1" applyBorder="1" applyAlignment="1">
      <alignment vertical="center"/>
    </xf>
    <xf numFmtId="0" fontId="1" fillId="14" borderId="0" xfId="14" applyFont="1" applyFill="1" applyProtection="1"/>
    <xf numFmtId="0" fontId="1" fillId="0" borderId="0" xfId="0" applyFont="1" applyFill="1" applyProtection="1"/>
    <xf numFmtId="0" fontId="46" fillId="6" borderId="0" xfId="21" applyFont="1" applyFill="1" applyBorder="1" applyAlignment="1" applyProtection="1">
      <alignment horizontal="right" vertical="center" readingOrder="2"/>
    </xf>
    <xf numFmtId="0" fontId="46" fillId="2" borderId="0" xfId="21" applyNumberFormat="1" applyFont="1" applyFill="1" applyBorder="1" applyAlignment="1" applyProtection="1">
      <alignment horizontal="right" vertical="center" readingOrder="2"/>
    </xf>
    <xf numFmtId="0" fontId="34" fillId="3" borderId="0" xfId="14" applyFont="1" applyFill="1" applyAlignment="1" applyProtection="1">
      <alignment horizontal="right" vertical="center" readingOrder="2"/>
    </xf>
    <xf numFmtId="0" fontId="34" fillId="2" borderId="0" xfId="14" applyFont="1" applyFill="1" applyAlignment="1" applyProtection="1">
      <alignment horizontal="right" vertical="center" readingOrder="2"/>
    </xf>
    <xf numFmtId="0" fontId="32" fillId="3" borderId="0" xfId="14" applyFont="1" applyFill="1" applyAlignment="1" applyProtection="1">
      <alignment horizontal="right" vertical="center" readingOrder="2"/>
      <protection locked="0"/>
    </xf>
    <xf numFmtId="0" fontId="32" fillId="3" borderId="0" xfId="14" applyFont="1" applyFill="1" applyAlignment="1" applyProtection="1">
      <alignment horizontal="right" vertical="center" readingOrder="2"/>
      <protection locked="0"/>
    </xf>
    <xf numFmtId="0" fontId="32" fillId="2" borderId="0" xfId="14" applyFont="1" applyFill="1" applyAlignment="1" applyProtection="1">
      <alignment horizontal="right" vertical="center" readingOrder="2"/>
    </xf>
    <xf numFmtId="0" fontId="35" fillId="17" borderId="0" xfId="14" applyFont="1" applyFill="1"/>
    <xf numFmtId="0" fontId="35" fillId="17" borderId="0" xfId="14" applyFont="1" applyFill="1" applyBorder="1" applyAlignment="1">
      <alignment horizontal="right"/>
    </xf>
    <xf numFmtId="0" fontId="35" fillId="17" borderId="0" xfId="14" applyFont="1" applyFill="1" applyBorder="1" applyAlignment="1">
      <alignment horizontal="right" wrapText="1"/>
    </xf>
    <xf numFmtId="0" fontId="51" fillId="17" borderId="0" xfId="14" applyFont="1" applyFill="1" applyBorder="1" applyAlignment="1">
      <alignment horizontal="right"/>
    </xf>
    <xf numFmtId="170" fontId="4" fillId="17" borderId="0" xfId="41" applyNumberFormat="1" applyFont="1" applyFill="1" applyAlignment="1">
      <alignment horizontal="right"/>
    </xf>
    <xf numFmtId="0" fontId="1" fillId="17" borderId="0" xfId="14" applyFont="1" applyFill="1"/>
    <xf numFmtId="0" fontId="1" fillId="17" borderId="0" xfId="14" applyFont="1" applyFill="1" applyBorder="1" applyAlignment="1">
      <alignment horizontal="right"/>
    </xf>
    <xf numFmtId="0" fontId="1" fillId="17" borderId="0" xfId="14" applyFont="1" applyFill="1" applyAlignment="1">
      <alignment horizontal="right"/>
    </xf>
    <xf numFmtId="0" fontId="1" fillId="0" borderId="0" xfId="14" applyFont="1"/>
    <xf numFmtId="0" fontId="32" fillId="3" borderId="0" xfId="14" applyFont="1" applyFill="1" applyAlignment="1" applyProtection="1">
      <alignment horizontal="right" vertical="center" readingOrder="2"/>
      <protection locked="0"/>
    </xf>
    <xf numFmtId="0" fontId="32" fillId="2" borderId="0" xfId="19" applyFont="1" applyFill="1" applyAlignment="1" applyProtection="1">
      <alignment horizontal="right" vertical="top" wrapText="1"/>
    </xf>
    <xf numFmtId="0" fontId="32" fillId="2" borderId="0" xfId="19" applyFont="1" applyFill="1" applyAlignment="1" applyProtection="1">
      <alignment horizontal="right" vertical="center" wrapText="1"/>
    </xf>
    <xf numFmtId="4" fontId="34" fillId="2" borderId="0" xfId="14" applyNumberFormat="1" applyFont="1" applyFill="1" applyAlignment="1" applyProtection="1">
      <alignment horizontal="right" vertical="center" readingOrder="2"/>
    </xf>
    <xf numFmtId="4" fontId="32" fillId="2" borderId="15" xfId="29" applyNumberFormat="1" applyFont="1" applyFill="1" applyBorder="1" applyAlignment="1" applyProtection="1">
      <alignment horizontal="right" vertical="center" readingOrder="2"/>
    </xf>
    <xf numFmtId="4" fontId="34" fillId="2" borderId="0" xfId="29" applyNumberFormat="1" applyFont="1" applyFill="1" applyBorder="1" applyAlignment="1" applyProtection="1">
      <alignment horizontal="right" vertical="center" shrinkToFit="1" readingOrder="2"/>
    </xf>
    <xf numFmtId="3" fontId="34" fillId="2" borderId="0" xfId="14" applyNumberFormat="1" applyFont="1" applyFill="1" applyAlignment="1" applyProtection="1">
      <alignment horizontal="right" vertical="center" readingOrder="2"/>
    </xf>
    <xf numFmtId="3" fontId="32" fillId="2" borderId="15" xfId="29" applyNumberFormat="1" applyFont="1" applyFill="1" applyBorder="1" applyAlignment="1" applyProtection="1">
      <alignment horizontal="right" vertical="center" readingOrder="2"/>
    </xf>
    <xf numFmtId="3" fontId="34" fillId="2" borderId="0" xfId="29" applyNumberFormat="1" applyFont="1" applyFill="1" applyBorder="1" applyAlignment="1" applyProtection="1">
      <alignment horizontal="right" vertical="center" shrinkToFit="1" readingOrder="2"/>
    </xf>
    <xf numFmtId="189" fontId="32" fillId="2" borderId="0" xfId="30" applyNumberFormat="1" applyFont="1" applyFill="1" applyBorder="1" applyAlignment="1" applyProtection="1">
      <alignment horizontal="right" vertical="center" readingOrder="2"/>
    </xf>
    <xf numFmtId="189" fontId="32" fillId="2" borderId="15" xfId="30" applyNumberFormat="1" applyFont="1" applyFill="1" applyBorder="1" applyAlignment="1" applyProtection="1">
      <alignment horizontal="right" vertical="center" readingOrder="2"/>
    </xf>
    <xf numFmtId="189" fontId="34" fillId="8" borderId="70" xfId="26" applyNumberFormat="1" applyFont="1" applyFill="1" applyBorder="1" applyAlignment="1" applyProtection="1">
      <alignment horizontal="right" vertical="center" shrinkToFit="1" readingOrder="2"/>
      <protection locked="0"/>
    </xf>
    <xf numFmtId="189" fontId="34" fillId="9" borderId="92" xfId="8" applyNumberFormat="1" applyFont="1" applyFill="1" applyBorder="1" applyAlignment="1" applyProtection="1">
      <alignment horizontal="right" vertical="center" shrinkToFit="1" readingOrder="2"/>
    </xf>
    <xf numFmtId="189" fontId="34" fillId="6" borderId="0" xfId="28" applyNumberFormat="1" applyFont="1" applyFill="1" applyBorder="1" applyAlignment="1">
      <alignment horizontal="right" vertical="center" readingOrder="2"/>
    </xf>
    <xf numFmtId="189" fontId="40" fillId="7" borderId="74" xfId="8" applyNumberFormat="1" applyFont="1" applyFill="1" applyBorder="1" applyAlignment="1" applyProtection="1">
      <alignment horizontal="right" vertical="center" shrinkToFit="1" readingOrder="2"/>
    </xf>
    <xf numFmtId="189" fontId="34" fillId="7" borderId="50" xfId="28" applyNumberFormat="1" applyFont="1" applyFill="1" applyBorder="1" applyAlignment="1">
      <alignment horizontal="right" vertical="center" shrinkToFit="1" readingOrder="2"/>
    </xf>
    <xf numFmtId="0" fontId="34" fillId="2" borderId="0" xfId="14" applyFont="1" applyFill="1" applyAlignment="1" applyProtection="1">
      <alignment horizontal="right" vertical="center" readingOrder="2"/>
    </xf>
    <xf numFmtId="192" fontId="34" fillId="2" borderId="0" xfId="33" applyNumberFormat="1" applyFont="1" applyFill="1" applyAlignment="1" applyProtection="1">
      <alignment horizontal="right" vertical="center" readingOrder="2"/>
    </xf>
    <xf numFmtId="192" fontId="4" fillId="6" borderId="185" xfId="33" applyNumberFormat="1" applyFont="1" applyFill="1" applyBorder="1" applyAlignment="1">
      <alignment horizontal="right" vertical="center" shrinkToFit="1"/>
    </xf>
    <xf numFmtId="0" fontId="32" fillId="3" borderId="0" xfId="14" applyFont="1" applyFill="1" applyAlignment="1" applyProtection="1">
      <alignment horizontal="right" vertical="center" readingOrder="2"/>
      <protection locked="0"/>
    </xf>
    <xf numFmtId="0" fontId="32" fillId="2" borderId="0" xfId="14" applyFont="1" applyFill="1" applyAlignment="1" applyProtection="1">
      <alignment horizontal="right" vertical="center" readingOrder="2"/>
    </xf>
    <xf numFmtId="0" fontId="34" fillId="2" borderId="0" xfId="14" applyFont="1" applyFill="1" applyAlignment="1" applyProtection="1">
      <alignment horizontal="right" vertical="center" readingOrder="2"/>
    </xf>
    <xf numFmtId="0" fontId="4" fillId="6" borderId="189" xfId="14" applyFill="1" applyBorder="1" applyAlignment="1">
      <alignment horizontal="right" vertical="center"/>
    </xf>
    <xf numFmtId="0" fontId="4" fillId="6" borderId="198" xfId="14" applyFill="1" applyBorder="1" applyAlignment="1">
      <alignment horizontal="right" vertical="center"/>
    </xf>
    <xf numFmtId="0" fontId="32" fillId="3" borderId="0" xfId="14" applyFont="1" applyFill="1" applyAlignment="1" applyProtection="1">
      <alignment horizontal="right" vertical="center" readingOrder="2"/>
      <protection locked="0"/>
    </xf>
    <xf numFmtId="0" fontId="32" fillId="2" borderId="0" xfId="14" applyFont="1" applyFill="1" applyAlignment="1" applyProtection="1">
      <alignment horizontal="right" vertical="center" readingOrder="2"/>
    </xf>
    <xf numFmtId="0" fontId="1" fillId="3" borderId="0" xfId="14" applyFont="1" applyFill="1" applyAlignment="1" applyProtection="1">
      <alignment horizontal="right" vertical="center" readingOrder="2"/>
      <protection locked="0"/>
    </xf>
    <xf numFmtId="0" fontId="1" fillId="2" borderId="0" xfId="14" applyFont="1" applyFill="1"/>
    <xf numFmtId="165" fontId="32" fillId="19" borderId="15" xfId="14" applyNumberFormat="1" applyFont="1" applyFill="1" applyBorder="1" applyAlignment="1" applyProtection="1">
      <alignment horizontal="right" vertical="center" shrinkToFit="1" readingOrder="2"/>
    </xf>
    <xf numFmtId="0" fontId="56" fillId="19" borderId="0" xfId="14" applyNumberFormat="1" applyFont="1" applyFill="1" applyBorder="1" applyAlignment="1" applyProtection="1">
      <alignment horizontal="right" vertical="center" wrapText="1" readingOrder="2"/>
    </xf>
    <xf numFmtId="0" fontId="51" fillId="3" borderId="0" xfId="14" applyFont="1" applyFill="1" applyBorder="1" applyAlignment="1" applyProtection="1">
      <alignment horizontal="right" vertical="center" readingOrder="2"/>
      <protection locked="0"/>
    </xf>
    <xf numFmtId="0" fontId="1" fillId="3" borderId="0" xfId="14" applyFont="1" applyFill="1" applyBorder="1" applyAlignment="1" applyProtection="1">
      <alignment horizontal="right" vertical="center" readingOrder="2"/>
      <protection locked="0"/>
    </xf>
    <xf numFmtId="0" fontId="34" fillId="3" borderId="0" xfId="14" applyFont="1" applyFill="1" applyAlignment="1" applyProtection="1">
      <alignment horizontal="right" vertical="center" readingOrder="2"/>
    </xf>
    <xf numFmtId="0" fontId="34" fillId="2" borderId="0" xfId="14" applyFont="1" applyFill="1" applyAlignment="1" applyProtection="1">
      <alignment horizontal="right" vertical="center" readingOrder="2"/>
    </xf>
    <xf numFmtId="0" fontId="32" fillId="3" borderId="0" xfId="14" applyFont="1" applyFill="1" applyAlignment="1" applyProtection="1">
      <alignment horizontal="right" vertical="center" readingOrder="2"/>
      <protection locked="0"/>
    </xf>
    <xf numFmtId="0" fontId="51" fillId="3" borderId="0" xfId="14" applyFont="1" applyFill="1" applyBorder="1" applyAlignment="1" applyProtection="1">
      <alignment horizontal="right" vertical="center" readingOrder="2"/>
      <protection locked="0"/>
    </xf>
    <xf numFmtId="0" fontId="32" fillId="3" borderId="0" xfId="14" applyFont="1" applyFill="1" applyAlignment="1" applyProtection="1">
      <alignment horizontal="right" vertical="center" readingOrder="2"/>
      <protection locked="0"/>
    </xf>
    <xf numFmtId="49" fontId="32" fillId="3" borderId="0" xfId="14" applyNumberFormat="1" applyFont="1" applyFill="1" applyBorder="1" applyAlignment="1" applyProtection="1">
      <alignment horizontal="right" vertical="top" readingOrder="2"/>
      <protection locked="0"/>
    </xf>
    <xf numFmtId="0" fontId="1" fillId="3" borderId="0" xfId="19" applyFont="1" applyFill="1" applyAlignment="1" applyProtection="1">
      <alignment horizontal="right" vertical="center" readingOrder="2"/>
      <protection locked="0"/>
    </xf>
    <xf numFmtId="49" fontId="32" fillId="3" borderId="0" xfId="19" applyNumberFormat="1" applyFont="1" applyFill="1" applyAlignment="1" applyProtection="1">
      <alignment horizontal="right" vertical="top" readingOrder="2"/>
      <protection locked="0"/>
    </xf>
    <xf numFmtId="49" fontId="32" fillId="3" borderId="0" xfId="14" applyNumberFormat="1" applyFont="1" applyFill="1" applyAlignment="1" applyProtection="1">
      <alignment horizontal="right" vertical="top" readingOrder="2"/>
      <protection locked="0"/>
    </xf>
    <xf numFmtId="0" fontId="34" fillId="6" borderId="0" xfId="14" applyNumberFormat="1" applyFont="1" applyFill="1" applyBorder="1" applyAlignment="1" applyProtection="1">
      <alignment horizontal="right" vertical="top" readingOrder="2"/>
      <protection locked="0"/>
    </xf>
    <xf numFmtId="4" fontId="32" fillId="20" borderId="71" xfId="30" applyNumberFormat="1" applyFont="1" applyFill="1" applyBorder="1" applyAlignment="1" applyProtection="1">
      <alignment horizontal="right" vertical="center" shrinkToFit="1" readingOrder="2"/>
    </xf>
    <xf numFmtId="0" fontId="164" fillId="6" borderId="243" xfId="14" applyFont="1" applyFill="1" applyBorder="1" applyAlignment="1">
      <alignment horizontal="right" vertical="center"/>
    </xf>
    <xf numFmtId="0" fontId="163" fillId="6" borderId="88" xfId="11" applyFont="1" applyFill="1" applyBorder="1" applyAlignment="1" applyProtection="1">
      <alignment horizontal="right" vertical="center"/>
      <protection hidden="1"/>
    </xf>
    <xf numFmtId="0" fontId="1" fillId="3" borderId="0" xfId="14" applyFont="1" applyFill="1" applyAlignment="1" applyProtection="1">
      <alignment horizontal="right" vertical="center" readingOrder="2"/>
      <protection locked="0"/>
    </xf>
    <xf numFmtId="0" fontId="32" fillId="2" borderId="0" xfId="14" applyFont="1" applyFill="1" applyAlignment="1" applyProtection="1">
      <alignment horizontal="right" vertical="center" readingOrder="2"/>
    </xf>
    <xf numFmtId="37" fontId="32" fillId="2" borderId="29" xfId="16" applyFont="1" applyFill="1" applyBorder="1" applyAlignment="1" applyProtection="1">
      <alignment horizontal="right" vertical="center" readingOrder="2"/>
    </xf>
    <xf numFmtId="0" fontId="1" fillId="6" borderId="184" xfId="14" applyFont="1" applyFill="1" applyBorder="1" applyAlignment="1">
      <alignment horizontal="right" vertical="center" wrapText="1"/>
    </xf>
    <xf numFmtId="165" fontId="32" fillId="20" borderId="50" xfId="14" applyNumberFormat="1" applyFont="1" applyFill="1" applyBorder="1" applyAlignment="1" applyProtection="1">
      <alignment horizontal="right" vertical="center" shrinkToFit="1" readingOrder="2"/>
    </xf>
    <xf numFmtId="0" fontId="1" fillId="17" borderId="0" xfId="14" applyFont="1" applyFill="1" applyAlignment="1">
      <alignment horizontal="right" readingOrder="2"/>
    </xf>
    <xf numFmtId="0" fontId="32" fillId="2" borderId="0" xfId="17" applyFont="1" applyFill="1" applyAlignment="1" applyProtection="1">
      <alignment horizontal="right" vertical="top" readingOrder="2"/>
    </xf>
    <xf numFmtId="165" fontId="61" fillId="6" borderId="184" xfId="14" applyNumberFormat="1" applyFont="1" applyFill="1" applyBorder="1" applyAlignment="1">
      <alignment horizontal="justify" vertical="justify" wrapText="1"/>
    </xf>
    <xf numFmtId="0" fontId="4" fillId="21" borderId="18" xfId="14" applyNumberFormat="1" applyFill="1" applyBorder="1" applyAlignment="1" applyProtection="1">
      <alignment horizontal="right" vertical="center"/>
    </xf>
    <xf numFmtId="0" fontId="1" fillId="6" borderId="184" xfId="14" applyFont="1" applyFill="1" applyBorder="1" applyAlignment="1">
      <alignment horizontal="right" vertical="center" wrapText="1" readingOrder="2"/>
    </xf>
    <xf numFmtId="0" fontId="1" fillId="6" borderId="274" xfId="14" applyFont="1" applyFill="1" applyBorder="1" applyAlignment="1">
      <alignment horizontal="right" vertical="center" wrapText="1"/>
    </xf>
    <xf numFmtId="0" fontId="1" fillId="3" borderId="0" xfId="14" applyFont="1" applyFill="1" applyAlignment="1" applyProtection="1">
      <alignment horizontal="justify" vertical="center" wrapText="1" readingOrder="2"/>
      <protection locked="0"/>
    </xf>
    <xf numFmtId="0" fontId="1" fillId="3" borderId="0" xfId="17" applyFont="1" applyFill="1" applyAlignment="1" applyProtection="1">
      <alignment horizontal="right" vertical="center" readingOrder="2"/>
      <protection locked="0"/>
    </xf>
    <xf numFmtId="0" fontId="1" fillId="17" borderId="0" xfId="14" applyFont="1" applyFill="1" applyAlignment="1">
      <alignment readingOrder="2"/>
    </xf>
    <xf numFmtId="0" fontId="1" fillId="6" borderId="231" xfId="14" applyFont="1" applyFill="1" applyBorder="1" applyAlignment="1">
      <alignment horizontal="right" vertical="center" wrapText="1"/>
    </xf>
    <xf numFmtId="0" fontId="32" fillId="2" borderId="0" xfId="14" applyFont="1" applyFill="1" applyAlignment="1" applyProtection="1">
      <alignment horizontal="right" vertical="center" readingOrder="2"/>
    </xf>
    <xf numFmtId="0" fontId="32" fillId="3" borderId="0" xfId="14" applyFont="1" applyFill="1" applyAlignment="1" applyProtection="1">
      <alignment horizontal="right" vertical="center" readingOrder="2"/>
      <protection locked="0"/>
    </xf>
    <xf numFmtId="165" fontId="34" fillId="22" borderId="23" xfId="29" applyNumberFormat="1" applyFont="1" applyFill="1" applyBorder="1" applyAlignment="1" applyProtection="1">
      <alignment horizontal="right" vertical="center" shrinkToFit="1" readingOrder="2"/>
      <protection locked="0"/>
    </xf>
    <xf numFmtId="0" fontId="1" fillId="6" borderId="186" xfId="14" applyFont="1" applyFill="1" applyBorder="1" applyAlignment="1">
      <alignment horizontal="right" vertical="center" wrapText="1"/>
    </xf>
    <xf numFmtId="0" fontId="1" fillId="3" borderId="0" xfId="17" applyFont="1" applyFill="1" applyBorder="1" applyAlignment="1" applyProtection="1">
      <alignment horizontal="justify" vertical="center" wrapText="1" readingOrder="2"/>
      <protection locked="0"/>
    </xf>
    <xf numFmtId="0" fontId="1" fillId="3" borderId="3" xfId="14" applyFont="1" applyFill="1" applyBorder="1" applyAlignment="1" applyProtection="1">
      <alignment horizontal="right" vertical="center" readingOrder="2"/>
    </xf>
    <xf numFmtId="0" fontId="32" fillId="3" borderId="3" xfId="14" applyFont="1" applyFill="1" applyBorder="1" applyAlignment="1" applyProtection="1">
      <alignment horizontal="right" vertical="center" readingOrder="2"/>
    </xf>
    <xf numFmtId="0" fontId="0" fillId="0" borderId="3" xfId="0" applyBorder="1" applyAlignment="1">
      <alignment horizontal="right" vertical="center" readingOrder="2"/>
    </xf>
    <xf numFmtId="0" fontId="32" fillId="2" borderId="0" xfId="14" applyFont="1" applyFill="1" applyAlignment="1" applyProtection="1">
      <alignment horizontal="right" vertical="center" readingOrder="2"/>
    </xf>
    <xf numFmtId="0" fontId="1" fillId="3" borderId="0" xfId="11" applyFont="1" applyFill="1" applyBorder="1" applyAlignment="1" applyProtection="1">
      <alignment horizontal="left" vertical="top" readingOrder="2"/>
      <protection locked="0"/>
    </xf>
    <xf numFmtId="165" fontId="32" fillId="7" borderId="23" xfId="19" applyNumberFormat="1" applyFont="1" applyFill="1" applyBorder="1" applyAlignment="1" applyProtection="1">
      <alignment horizontal="right" vertical="center" shrinkToFit="1" readingOrder="2"/>
    </xf>
    <xf numFmtId="165" fontId="32" fillId="8" borderId="24" xfId="19" applyNumberFormat="1" applyFont="1" applyFill="1" applyBorder="1" applyAlignment="1" applyProtection="1">
      <alignment horizontal="right" vertical="center" shrinkToFit="1" readingOrder="2"/>
      <protection locked="0"/>
    </xf>
    <xf numFmtId="0" fontId="1" fillId="3" borderId="0" xfId="14" applyFont="1" applyFill="1" applyAlignment="1" applyProtection="1">
      <alignment horizontal="justify" vertical="center" wrapText="1" readingOrder="2"/>
      <protection locked="0"/>
    </xf>
    <xf numFmtId="49" fontId="1" fillId="3" borderId="0" xfId="14" applyNumberFormat="1" applyFont="1" applyFill="1" applyBorder="1" applyAlignment="1" applyProtection="1">
      <alignment horizontal="right" vertical="center" readingOrder="2"/>
      <protection locked="0"/>
    </xf>
    <xf numFmtId="0" fontId="1" fillId="6" borderId="8" xfId="17" applyFont="1" applyFill="1" applyBorder="1" applyAlignment="1" applyProtection="1">
      <alignment horizontal="right" vertical="center" readingOrder="2"/>
      <protection locked="0"/>
    </xf>
    <xf numFmtId="0" fontId="1" fillId="6" borderId="8" xfId="14" applyFont="1" applyFill="1" applyBorder="1" applyAlignment="1" applyProtection="1">
      <alignment horizontal="right" vertical="center" readingOrder="2"/>
      <protection locked="0"/>
    </xf>
    <xf numFmtId="0" fontId="22" fillId="17" borderId="0" xfId="14" applyFont="1" applyFill="1" applyAlignment="1">
      <alignment horizontal="right"/>
    </xf>
    <xf numFmtId="3" fontId="4" fillId="17" borderId="0" xfId="14" applyNumberFormat="1" applyFill="1" applyAlignment="1">
      <alignment horizontal="right"/>
    </xf>
    <xf numFmtId="9" fontId="4" fillId="17" borderId="0" xfId="14" applyNumberFormat="1" applyFill="1" applyAlignment="1">
      <alignment horizontal="right"/>
    </xf>
    <xf numFmtId="0" fontId="1" fillId="17" borderId="0" xfId="14" applyFont="1" applyFill="1" applyAlignment="1">
      <alignment wrapText="1" readingOrder="2"/>
    </xf>
    <xf numFmtId="0" fontId="22" fillId="17" borderId="0" xfId="14" applyFont="1" applyFill="1"/>
    <xf numFmtId="0" fontId="4" fillId="17" borderId="24" xfId="14" applyFill="1" applyBorder="1" applyAlignment="1">
      <alignment horizontal="right"/>
    </xf>
    <xf numFmtId="3" fontId="22" fillId="17" borderId="0" xfId="14" applyNumberFormat="1" applyFont="1" applyFill="1" applyAlignment="1">
      <alignment horizontal="right"/>
    </xf>
    <xf numFmtId="3" fontId="1" fillId="17" borderId="0" xfId="14" applyNumberFormat="1" applyFont="1" applyFill="1" applyAlignment="1">
      <alignment horizontal="right"/>
    </xf>
    <xf numFmtId="170" fontId="4" fillId="17" borderId="0" xfId="14" applyNumberFormat="1" applyFill="1" applyAlignment="1">
      <alignment horizontal="right"/>
    </xf>
    <xf numFmtId="170" fontId="166" fillId="17" borderId="0" xfId="41" applyNumberFormat="1" applyFont="1" applyFill="1" applyAlignment="1">
      <alignment horizontal="right"/>
    </xf>
    <xf numFmtId="14" fontId="4" fillId="17" borderId="0" xfId="14" applyNumberFormat="1" applyFill="1" applyAlignment="1">
      <alignment horizontal="right"/>
    </xf>
    <xf numFmtId="49" fontId="1" fillId="3" borderId="0" xfId="19" applyNumberFormat="1" applyFont="1" applyFill="1" applyAlignment="1" applyProtection="1">
      <alignment horizontal="right" vertical="top" readingOrder="2"/>
      <protection locked="0"/>
    </xf>
    <xf numFmtId="0" fontId="35" fillId="17" borderId="0" xfId="14" applyFont="1" applyFill="1" applyAlignment="1">
      <alignment readingOrder="2"/>
    </xf>
    <xf numFmtId="170" fontId="1" fillId="17" borderId="0" xfId="41" applyNumberFormat="1" applyFont="1" applyFill="1" applyAlignment="1">
      <alignment horizontal="right"/>
    </xf>
    <xf numFmtId="49" fontId="1" fillId="3" borderId="0" xfId="14" applyNumberFormat="1" applyFont="1" applyFill="1" applyAlignment="1" applyProtection="1">
      <alignment horizontal="center" vertical="center" readingOrder="2"/>
      <protection locked="0"/>
    </xf>
    <xf numFmtId="49" fontId="1" fillId="3" borderId="0" xfId="14" applyNumberFormat="1" applyFont="1" applyFill="1" applyAlignment="1" applyProtection="1">
      <alignment horizontal="center" vertical="center" wrapText="1" readingOrder="2"/>
      <protection locked="0"/>
    </xf>
    <xf numFmtId="49" fontId="1" fillId="3" borderId="0" xfId="14" applyNumberFormat="1" applyFont="1" applyFill="1" applyBorder="1" applyAlignment="1" applyProtection="1">
      <alignment horizontal="center" vertical="center" readingOrder="2"/>
      <protection locked="0"/>
    </xf>
    <xf numFmtId="0" fontId="22" fillId="17" borderId="24" xfId="14" applyFont="1" applyFill="1" applyBorder="1" applyAlignment="1">
      <alignment horizontal="right"/>
    </xf>
    <xf numFmtId="1" fontId="1" fillId="3" borderId="0" xfId="14" applyNumberFormat="1" applyFont="1" applyFill="1" applyBorder="1" applyAlignment="1" applyProtection="1">
      <alignment horizontal="right" vertical="center" readingOrder="2"/>
      <protection locked="0"/>
    </xf>
    <xf numFmtId="0" fontId="1" fillId="17" borderId="0" xfId="14" applyFont="1" applyFill="1" applyAlignment="1">
      <alignment horizontal="right" wrapText="1"/>
    </xf>
    <xf numFmtId="0" fontId="1" fillId="17" borderId="0" xfId="14" applyFont="1" applyFill="1" applyAlignment="1">
      <alignment horizontal="right" vertical="center"/>
    </xf>
    <xf numFmtId="3" fontId="22" fillId="17" borderId="0" xfId="14" applyNumberFormat="1" applyFont="1" applyFill="1" applyAlignment="1">
      <alignment horizontal="right" vertical="center"/>
    </xf>
    <xf numFmtId="0" fontId="138" fillId="3" borderId="0" xfId="14" applyFont="1" applyFill="1" applyAlignment="1">
      <alignment horizontal="center" vertical="center" readingOrder="2"/>
    </xf>
    <xf numFmtId="0" fontId="139" fillId="3" borderId="0" xfId="14" applyFont="1" applyFill="1" applyAlignment="1">
      <alignment horizontal="center" vertical="center" readingOrder="2"/>
    </xf>
    <xf numFmtId="0" fontId="55" fillId="4" borderId="2" xfId="14" applyFont="1" applyFill="1" applyBorder="1" applyAlignment="1">
      <alignment horizontal="center" vertical="center" readingOrder="2"/>
    </xf>
    <xf numFmtId="0" fontId="4" fillId="0" borderId="0" xfId="14" applyAlignment="1">
      <alignment vertical="center" readingOrder="2"/>
    </xf>
    <xf numFmtId="0" fontId="55" fillId="4" borderId="0" xfId="14" applyFont="1" applyFill="1" applyBorder="1" applyAlignment="1">
      <alignment horizontal="center" vertical="center" readingOrder="2"/>
    </xf>
    <xf numFmtId="0" fontId="4" fillId="0" borderId="0" xfId="14" applyBorder="1" applyAlignment="1">
      <alignment vertical="center" readingOrder="2"/>
    </xf>
    <xf numFmtId="0" fontId="4" fillId="0" borderId="4" xfId="14" applyBorder="1" applyAlignment="1">
      <alignment vertical="center" readingOrder="2"/>
    </xf>
    <xf numFmtId="0" fontId="43" fillId="3" borderId="0" xfId="14" applyFont="1" applyFill="1" applyAlignment="1">
      <alignment horizontal="center" vertical="center" readingOrder="2"/>
    </xf>
    <xf numFmtId="0" fontId="67" fillId="3" borderId="0" xfId="14" applyFont="1" applyFill="1" applyAlignment="1">
      <alignment horizontal="center" vertical="center" readingOrder="2"/>
    </xf>
    <xf numFmtId="49" fontId="36" fillId="2" borderId="0" xfId="19" applyNumberFormat="1" applyFont="1" applyFill="1" applyBorder="1" applyAlignment="1" applyProtection="1">
      <alignment horizontal="right" vertical="center" shrinkToFit="1" readingOrder="2"/>
    </xf>
    <xf numFmtId="49" fontId="4" fillId="2" borderId="0" xfId="14" applyNumberFormat="1" applyFont="1" applyFill="1" applyBorder="1" applyAlignment="1" applyProtection="1">
      <alignment horizontal="right" vertical="center" shrinkToFit="1" readingOrder="2"/>
    </xf>
    <xf numFmtId="49" fontId="30" fillId="2" borderId="0" xfId="14" applyNumberFormat="1" applyFont="1" applyFill="1" applyBorder="1" applyAlignment="1" applyProtection="1">
      <alignment horizontal="right" vertical="center" shrinkToFit="1" readingOrder="2"/>
    </xf>
    <xf numFmtId="49" fontId="29" fillId="2" borderId="0" xfId="19" applyNumberFormat="1" applyFont="1" applyFill="1" applyBorder="1" applyAlignment="1" applyProtection="1">
      <alignment horizontal="right" vertical="center" shrinkToFit="1" readingOrder="2"/>
    </xf>
    <xf numFmtId="49" fontId="4" fillId="0" borderId="0" xfId="14" applyNumberFormat="1" applyFont="1" applyAlignment="1" applyProtection="1">
      <alignment horizontal="right" vertical="center" shrinkToFit="1" readingOrder="2"/>
    </xf>
    <xf numFmtId="0" fontId="39" fillId="2" borderId="0" xfId="19" applyFont="1" applyFill="1" applyBorder="1" applyAlignment="1" applyProtection="1">
      <alignment horizontal="center" vertical="top" shrinkToFit="1" readingOrder="2"/>
    </xf>
    <xf numFmtId="0" fontId="4" fillId="2" borderId="0" xfId="14" applyFont="1" applyFill="1" applyBorder="1" applyAlignment="1" applyProtection="1">
      <alignment horizontal="center" vertical="top" shrinkToFit="1" readingOrder="2"/>
    </xf>
    <xf numFmtId="0" fontId="29" fillId="2" borderId="0" xfId="19" applyFont="1" applyFill="1" applyBorder="1" applyAlignment="1" applyProtection="1">
      <alignment horizontal="right" vertical="center" wrapText="1" shrinkToFit="1" readingOrder="2"/>
    </xf>
    <xf numFmtId="0" fontId="30" fillId="2" borderId="0" xfId="14" applyFont="1" applyFill="1" applyBorder="1" applyAlignment="1" applyProtection="1">
      <alignment horizontal="right" vertical="center" wrapText="1" shrinkToFit="1" readingOrder="2"/>
    </xf>
    <xf numFmtId="0" fontId="29" fillId="2" borderId="0" xfId="19" applyFont="1" applyFill="1" applyBorder="1" applyAlignment="1" applyProtection="1">
      <alignment horizontal="right" vertical="center" shrinkToFit="1" readingOrder="2"/>
    </xf>
    <xf numFmtId="0" fontId="30" fillId="2" borderId="0" xfId="14" applyFont="1" applyFill="1" applyBorder="1" applyAlignment="1" applyProtection="1">
      <alignment horizontal="right" vertical="center" shrinkToFit="1" readingOrder="2"/>
    </xf>
    <xf numFmtId="0" fontId="36" fillId="6" borderId="8" xfId="19" applyFont="1" applyFill="1" applyBorder="1" applyAlignment="1" applyProtection="1">
      <alignment horizontal="right" vertical="center" shrinkToFit="1" readingOrder="2"/>
      <protection locked="0"/>
    </xf>
    <xf numFmtId="0" fontId="4" fillId="0" borderId="0" xfId="14" applyBorder="1" applyAlignment="1" applyProtection="1">
      <alignment horizontal="right" vertical="center" shrinkToFit="1" readingOrder="2"/>
      <protection locked="0"/>
    </xf>
    <xf numFmtId="0" fontId="29" fillId="6" borderId="8" xfId="19" applyFont="1" applyFill="1" applyBorder="1" applyAlignment="1" applyProtection="1">
      <alignment horizontal="right" vertical="center" shrinkToFit="1" readingOrder="2"/>
    </xf>
    <xf numFmtId="0" fontId="30" fillId="6" borderId="0" xfId="14" applyFont="1" applyFill="1" applyBorder="1" applyAlignment="1" applyProtection="1">
      <alignment horizontal="right" vertical="center" shrinkToFit="1" readingOrder="2"/>
    </xf>
    <xf numFmtId="0" fontId="38" fillId="2" borderId="0" xfId="19" applyFont="1" applyFill="1" applyAlignment="1" applyProtection="1">
      <alignment horizontal="center" vertical="center" shrinkToFit="1" readingOrder="2"/>
    </xf>
    <xf numFmtId="0" fontId="35" fillId="0" borderId="0" xfId="14" applyFont="1" applyAlignment="1" applyProtection="1">
      <alignment horizontal="center" vertical="center" shrinkToFit="1" readingOrder="2"/>
    </xf>
    <xf numFmtId="0" fontId="4" fillId="3" borderId="22" xfId="14" applyFont="1" applyFill="1" applyBorder="1" applyAlignment="1" applyProtection="1">
      <alignment horizontal="right" vertical="center" shrinkToFit="1" readingOrder="2"/>
    </xf>
    <xf numFmtId="0" fontId="4" fillId="3" borderId="147" xfId="14" applyFont="1" applyFill="1" applyBorder="1" applyAlignment="1" applyProtection="1">
      <alignment horizontal="right" vertical="center" shrinkToFit="1" readingOrder="2"/>
    </xf>
    <xf numFmtId="37" fontId="37" fillId="5" borderId="258" xfId="19" applyNumberFormat="1" applyFont="1" applyFill="1" applyBorder="1" applyAlignment="1" applyProtection="1">
      <alignment horizontal="center" vertical="center" shrinkToFit="1" readingOrder="2"/>
    </xf>
    <xf numFmtId="37" fontId="37" fillId="5" borderId="259" xfId="19" applyNumberFormat="1" applyFont="1" applyFill="1" applyBorder="1" applyAlignment="1" applyProtection="1">
      <alignment horizontal="center" vertical="center" shrinkToFit="1" readingOrder="2"/>
    </xf>
    <xf numFmtId="0" fontId="4" fillId="0" borderId="0" xfId="14" applyBorder="1" applyAlignment="1" applyProtection="1">
      <alignment horizontal="right"/>
    </xf>
    <xf numFmtId="0" fontId="30" fillId="6" borderId="0" xfId="14" applyFont="1" applyFill="1" applyBorder="1" applyAlignment="1" applyProtection="1">
      <alignment horizontal="right" vertical="center" shrinkToFit="1" readingOrder="2"/>
      <protection locked="0"/>
    </xf>
    <xf numFmtId="0" fontId="18" fillId="4" borderId="0" xfId="20" applyFont="1" applyFill="1" applyAlignment="1" applyProtection="1">
      <alignment horizontal="center" vertical="center" shrinkToFit="1" readingOrder="2"/>
    </xf>
    <xf numFmtId="0" fontId="19" fillId="0" borderId="0" xfId="14" applyFont="1" applyAlignment="1" applyProtection="1">
      <alignment horizontal="center" vertical="center" shrinkToFit="1" readingOrder="2"/>
    </xf>
    <xf numFmtId="0" fontId="20" fillId="0" borderId="0" xfId="14" applyFont="1" applyAlignment="1" applyProtection="1">
      <alignment horizontal="center" vertical="center" shrinkToFit="1" readingOrder="2"/>
    </xf>
    <xf numFmtId="0" fontId="29" fillId="6" borderId="8" xfId="19" applyFont="1" applyFill="1" applyBorder="1" applyAlignment="1" applyProtection="1">
      <alignment horizontal="right" vertical="center" wrapText="1" readingOrder="2"/>
    </xf>
    <xf numFmtId="0" fontId="30" fillId="6" borderId="0" xfId="14" applyFont="1" applyFill="1" applyBorder="1" applyAlignment="1" applyProtection="1">
      <alignment horizontal="right" vertical="center" wrapText="1" readingOrder="2"/>
    </xf>
    <xf numFmtId="37" fontId="18" fillId="4" borderId="0" xfId="19" applyNumberFormat="1" applyFont="1" applyFill="1" applyAlignment="1" applyProtection="1">
      <alignment horizontal="center" vertical="center" shrinkToFit="1" readingOrder="2"/>
    </xf>
    <xf numFmtId="0" fontId="4" fillId="0" borderId="0" xfId="14" applyAlignment="1" applyProtection="1">
      <alignment horizontal="center" vertical="center" shrinkToFit="1" readingOrder="2"/>
    </xf>
    <xf numFmtId="0" fontId="46" fillId="6" borderId="8" xfId="19" applyNumberFormat="1" applyFont="1" applyFill="1" applyBorder="1" applyAlignment="1" applyProtection="1">
      <alignment horizontal="right" vertical="center" shrinkToFit="1" readingOrder="2"/>
      <protection locked="0"/>
    </xf>
    <xf numFmtId="0" fontId="46" fillId="6" borderId="0" xfId="19" applyNumberFormat="1" applyFont="1" applyFill="1" applyBorder="1" applyAlignment="1" applyProtection="1">
      <alignment horizontal="right" vertical="center" shrinkToFit="1" readingOrder="2"/>
      <protection locked="0"/>
    </xf>
    <xf numFmtId="0" fontId="32" fillId="2" borderId="0" xfId="19" applyNumberFormat="1" applyFont="1" applyFill="1" applyBorder="1" applyAlignment="1" applyProtection="1">
      <alignment horizontal="right" vertical="center" shrinkToFit="1" readingOrder="2"/>
    </xf>
    <xf numFmtId="0" fontId="32" fillId="2" borderId="0" xfId="14" applyNumberFormat="1" applyFont="1" applyFill="1" applyBorder="1" applyAlignment="1" applyProtection="1">
      <alignment horizontal="right" vertical="center" shrinkToFit="1" readingOrder="2"/>
    </xf>
    <xf numFmtId="0" fontId="46" fillId="8" borderId="0" xfId="19" applyFont="1" applyFill="1" applyBorder="1" applyAlignment="1" applyProtection="1">
      <alignment horizontal="right" vertical="center" shrinkToFit="1" readingOrder="2"/>
      <protection locked="0"/>
    </xf>
    <xf numFmtId="0" fontId="46" fillId="8" borderId="10" xfId="19" applyFont="1" applyFill="1" applyBorder="1" applyAlignment="1" applyProtection="1">
      <alignment horizontal="right" vertical="center" shrinkToFit="1" readingOrder="2"/>
      <protection locked="0"/>
    </xf>
    <xf numFmtId="0" fontId="4" fillId="0" borderId="10" xfId="14" applyBorder="1" applyAlignment="1" applyProtection="1">
      <alignment horizontal="right" vertical="center" shrinkToFit="1" readingOrder="2"/>
      <protection locked="0"/>
    </xf>
    <xf numFmtId="37" fontId="38" fillId="2" borderId="0" xfId="20" applyNumberFormat="1" applyFont="1" applyFill="1" applyAlignment="1" applyProtection="1">
      <alignment horizontal="center" vertical="center" shrinkToFit="1" readingOrder="2"/>
    </xf>
    <xf numFmtId="0" fontId="38" fillId="2" borderId="0" xfId="14" applyFont="1" applyFill="1" applyAlignment="1" applyProtection="1">
      <alignment horizontal="center" vertical="center" shrinkToFit="1" readingOrder="2"/>
    </xf>
    <xf numFmtId="37" fontId="38" fillId="2" borderId="0" xfId="19" applyNumberFormat="1" applyFont="1" applyFill="1" applyAlignment="1" applyProtection="1">
      <alignment horizontal="center" vertical="center" shrinkToFit="1" readingOrder="2"/>
    </xf>
    <xf numFmtId="0" fontId="49" fillId="6" borderId="37" xfId="19" applyFont="1" applyFill="1" applyBorder="1" applyAlignment="1" applyProtection="1">
      <alignment horizontal="right" vertical="center" shrinkToFit="1" readingOrder="2"/>
    </xf>
    <xf numFmtId="0" fontId="49" fillId="6" borderId="3" xfId="19" applyFont="1" applyFill="1" applyBorder="1" applyAlignment="1" applyProtection="1">
      <alignment horizontal="right" vertical="center" shrinkToFit="1" readingOrder="2"/>
    </xf>
    <xf numFmtId="0" fontId="38" fillId="2" borderId="0" xfId="14" applyFont="1" applyFill="1" applyBorder="1" applyAlignment="1" applyProtection="1">
      <alignment horizontal="right" vertical="center" shrinkToFit="1" readingOrder="2"/>
    </xf>
    <xf numFmtId="0" fontId="32" fillId="2" borderId="0" xfId="20" applyNumberFormat="1" applyFont="1" applyFill="1" applyBorder="1" applyAlignment="1" applyProtection="1">
      <alignment horizontal="right" vertical="center" wrapText="1" readingOrder="2"/>
    </xf>
    <xf numFmtId="0" fontId="51" fillId="2" borderId="0" xfId="20" applyNumberFormat="1" applyFont="1" applyFill="1" applyBorder="1" applyAlignment="1" applyProtection="1">
      <alignment horizontal="right" vertical="center" wrapText="1" readingOrder="2"/>
    </xf>
    <xf numFmtId="0" fontId="35" fillId="2" borderId="0" xfId="20" applyFont="1" applyFill="1" applyBorder="1" applyAlignment="1" applyProtection="1">
      <alignment horizontal="right" vertical="center" wrapText="1" readingOrder="2"/>
    </xf>
    <xf numFmtId="0" fontId="51" fillId="2" borderId="0" xfId="14" applyNumberFormat="1" applyFont="1" applyFill="1" applyBorder="1" applyAlignment="1" applyProtection="1">
      <alignment horizontal="right" vertical="center" wrapText="1" readingOrder="2"/>
    </xf>
    <xf numFmtId="0" fontId="32" fillId="2" borderId="67" xfId="20" applyFont="1" applyFill="1" applyBorder="1" applyAlignment="1" applyProtection="1">
      <alignment horizontal="center" vertical="center" wrapText="1" readingOrder="2"/>
    </xf>
    <xf numFmtId="0" fontId="32" fillId="2" borderId="0" xfId="14" applyNumberFormat="1" applyFont="1" applyFill="1" applyBorder="1" applyAlignment="1" applyProtection="1">
      <alignment horizontal="right" vertical="center" wrapText="1" readingOrder="2"/>
    </xf>
    <xf numFmtId="0" fontId="35" fillId="2" borderId="0" xfId="20" applyNumberFormat="1" applyFont="1" applyFill="1" applyBorder="1" applyAlignment="1" applyProtection="1">
      <alignment horizontal="right" vertical="center" wrapText="1" readingOrder="2"/>
    </xf>
    <xf numFmtId="0" fontId="32" fillId="2" borderId="24" xfId="20" applyNumberFormat="1" applyFont="1" applyFill="1" applyBorder="1" applyAlignment="1" applyProtection="1">
      <alignment horizontal="right" vertical="center" wrapText="1" readingOrder="2"/>
    </xf>
    <xf numFmtId="0" fontId="4" fillId="0" borderId="0" xfId="14" applyAlignment="1" applyProtection="1">
      <alignment horizontal="right"/>
    </xf>
    <xf numFmtId="0" fontId="38" fillId="2" borderId="0" xfId="14" applyFont="1" applyFill="1" applyAlignment="1" applyProtection="1">
      <alignment horizontal="center" vertical="center" readingOrder="2"/>
    </xf>
    <xf numFmtId="0" fontId="64" fillId="2" borderId="0" xfId="14" applyFont="1" applyFill="1" applyAlignment="1" applyProtection="1">
      <alignment horizontal="right" vertical="center" readingOrder="2"/>
    </xf>
    <xf numFmtId="0" fontId="35" fillId="2" borderId="0" xfId="14" applyFont="1" applyFill="1" applyAlignment="1" applyProtection="1">
      <alignment horizontal="right" vertical="center" readingOrder="2"/>
    </xf>
    <xf numFmtId="0" fontId="38" fillId="2" borderId="0" xfId="20" applyFont="1" applyFill="1" applyAlignment="1" applyProtection="1">
      <alignment horizontal="center" vertical="center" readingOrder="2"/>
    </xf>
    <xf numFmtId="0" fontId="55" fillId="4" borderId="0" xfId="14" applyFont="1" applyFill="1" applyAlignment="1" applyProtection="1">
      <alignment horizontal="center" vertical="center" readingOrder="2"/>
    </xf>
    <xf numFmtId="0" fontId="38" fillId="4" borderId="0" xfId="14" applyFont="1" applyFill="1" applyAlignment="1" applyProtection="1">
      <alignment horizontal="center" vertical="center" readingOrder="2"/>
    </xf>
    <xf numFmtId="0" fontId="33" fillId="0" borderId="0" xfId="14" applyFont="1" applyAlignment="1" applyProtection="1">
      <alignment horizontal="center" vertical="center" readingOrder="2"/>
    </xf>
    <xf numFmtId="0" fontId="34" fillId="6" borderId="0" xfId="14" applyFont="1" applyFill="1" applyBorder="1" applyAlignment="1" applyProtection="1">
      <alignment horizontal="right" vertical="center" wrapText="1" readingOrder="2"/>
    </xf>
    <xf numFmtId="0" fontId="37" fillId="5" borderId="31" xfId="20" applyFont="1" applyFill="1" applyBorder="1" applyAlignment="1" applyProtection="1">
      <alignment horizontal="center" vertical="center" readingOrder="2"/>
    </xf>
    <xf numFmtId="0" fontId="0" fillId="0" borderId="34" xfId="0" applyBorder="1" applyAlignment="1">
      <alignment horizontal="center"/>
    </xf>
    <xf numFmtId="0" fontId="37" fillId="5" borderId="30" xfId="20" applyFont="1" applyFill="1" applyBorder="1" applyAlignment="1" applyProtection="1">
      <alignment horizontal="right" vertical="center" readingOrder="2"/>
    </xf>
    <xf numFmtId="0" fontId="32" fillId="0" borderId="33" xfId="14" applyFont="1" applyBorder="1" applyAlignment="1" applyProtection="1">
      <alignment horizontal="right" vertical="center" readingOrder="2"/>
    </xf>
    <xf numFmtId="0" fontId="32" fillId="0" borderId="3" xfId="14" applyFont="1" applyBorder="1" applyAlignment="1" applyProtection="1">
      <alignment horizontal="right" vertical="center" readingOrder="2"/>
    </xf>
    <xf numFmtId="0" fontId="32" fillId="0" borderId="36" xfId="14" applyFont="1" applyBorder="1" applyAlignment="1" applyProtection="1">
      <alignment horizontal="right" vertical="center" readingOrder="2"/>
    </xf>
    <xf numFmtId="0" fontId="32" fillId="0" borderId="34" xfId="14" applyFont="1" applyBorder="1" applyAlignment="1" applyProtection="1">
      <alignment horizontal="center" vertical="center" readingOrder="2"/>
    </xf>
    <xf numFmtId="0" fontId="55" fillId="4" borderId="0" xfId="20" applyFont="1" applyFill="1" applyAlignment="1" applyProtection="1">
      <alignment horizontal="center" vertical="center" readingOrder="2"/>
    </xf>
    <xf numFmtId="0" fontId="37" fillId="5" borderId="33" xfId="20" applyFont="1" applyFill="1" applyBorder="1" applyAlignment="1" applyProtection="1">
      <alignment horizontal="right" vertical="center" readingOrder="2"/>
    </xf>
    <xf numFmtId="0" fontId="4" fillId="0" borderId="36" xfId="14" applyBorder="1" applyProtection="1"/>
    <xf numFmtId="0" fontId="57" fillId="3" borderId="0" xfId="14" applyFont="1" applyFill="1" applyAlignment="1" applyProtection="1">
      <alignment horizontal="right" vertical="center" readingOrder="2"/>
    </xf>
    <xf numFmtId="0" fontId="40" fillId="3" borderId="0" xfId="14" applyFont="1" applyFill="1" applyAlignment="1" applyProtection="1">
      <alignment horizontal="right" vertical="center" readingOrder="2"/>
    </xf>
    <xf numFmtId="0" fontId="32" fillId="2" borderId="40" xfId="14" applyFont="1" applyFill="1" applyBorder="1" applyAlignment="1" applyProtection="1">
      <alignment horizontal="center" vertical="center" readingOrder="2"/>
    </xf>
    <xf numFmtId="0" fontId="35" fillId="2" borderId="67" xfId="20" applyFont="1" applyFill="1" applyBorder="1" applyAlignment="1" applyProtection="1">
      <alignment horizontal="right" vertical="center" readingOrder="2"/>
    </xf>
    <xf numFmtId="0" fontId="35" fillId="2" borderId="43" xfId="20" applyFont="1" applyFill="1" applyBorder="1" applyAlignment="1" applyProtection="1">
      <alignment horizontal="right" vertical="center" readingOrder="2"/>
    </xf>
    <xf numFmtId="0" fontId="32" fillId="2" borderId="24" xfId="14" applyFont="1" applyFill="1" applyBorder="1" applyAlignment="1" applyProtection="1">
      <alignment horizontal="center" vertical="center" readingOrder="2"/>
    </xf>
    <xf numFmtId="0" fontId="32" fillId="2" borderId="47" xfId="14" applyFont="1" applyFill="1" applyBorder="1" applyAlignment="1" applyProtection="1">
      <alignment horizontal="center" vertical="center" readingOrder="2"/>
    </xf>
    <xf numFmtId="0" fontId="32" fillId="2" borderId="67" xfId="20" applyFont="1" applyFill="1" applyBorder="1" applyAlignment="1" applyProtection="1">
      <alignment horizontal="center" vertical="center" readingOrder="2"/>
    </xf>
    <xf numFmtId="0" fontId="32" fillId="2" borderId="0" xfId="21" applyNumberFormat="1" applyFont="1" applyFill="1" applyBorder="1" applyAlignment="1" applyProtection="1">
      <alignment horizontal="right" vertical="center" readingOrder="2"/>
    </xf>
    <xf numFmtId="0" fontId="32" fillId="6" borderId="0" xfId="21" applyFont="1" applyFill="1" applyBorder="1" applyAlignment="1" applyProtection="1">
      <alignment horizontal="right" vertical="center" readingOrder="2"/>
      <protection locked="0"/>
    </xf>
    <xf numFmtId="0" fontId="46" fillId="2" borderId="0" xfId="21" applyNumberFormat="1" applyFont="1" applyFill="1" applyBorder="1" applyAlignment="1" applyProtection="1">
      <alignment horizontal="right" vertical="center" readingOrder="2"/>
    </xf>
    <xf numFmtId="0" fontId="75" fillId="2" borderId="0" xfId="21" applyNumberFormat="1" applyFont="1" applyFill="1" applyBorder="1" applyAlignment="1" applyProtection="1">
      <alignment horizontal="right" vertical="center" readingOrder="2"/>
    </xf>
    <xf numFmtId="0" fontId="76" fillId="2" borderId="0" xfId="21" applyNumberFormat="1" applyFont="1" applyFill="1" applyBorder="1" applyAlignment="1" applyProtection="1">
      <alignment horizontal="right" vertical="center" readingOrder="2"/>
    </xf>
    <xf numFmtId="0" fontId="35" fillId="2" borderId="0" xfId="21" applyNumberFormat="1" applyFont="1" applyFill="1" applyBorder="1" applyAlignment="1" applyProtection="1">
      <alignment horizontal="right" vertical="center" readingOrder="2"/>
    </xf>
    <xf numFmtId="0" fontId="32" fillId="2" borderId="0" xfId="14" applyNumberFormat="1" applyFont="1" applyFill="1" applyBorder="1" applyAlignment="1" applyProtection="1">
      <alignment horizontal="right" vertical="center" readingOrder="2"/>
    </xf>
    <xf numFmtId="0" fontId="38" fillId="2" borderId="0" xfId="21" applyFont="1" applyFill="1" applyBorder="1" applyAlignment="1" applyProtection="1">
      <alignment horizontal="center" vertical="center" readingOrder="2"/>
    </xf>
    <xf numFmtId="0" fontId="38" fillId="0" borderId="0" xfId="14" applyFont="1" applyBorder="1" applyAlignment="1" applyProtection="1">
      <alignment horizontal="center" vertical="center" readingOrder="2"/>
    </xf>
    <xf numFmtId="0" fontId="47" fillId="2" borderId="0" xfId="21" applyNumberFormat="1" applyFont="1" applyFill="1" applyBorder="1" applyAlignment="1" applyProtection="1">
      <alignment horizontal="right" vertical="center" readingOrder="2"/>
    </xf>
    <xf numFmtId="0" fontId="51" fillId="2" borderId="0" xfId="21" applyNumberFormat="1" applyFont="1" applyFill="1" applyBorder="1" applyAlignment="1" applyProtection="1">
      <alignment horizontal="right" vertical="center" readingOrder="2"/>
    </xf>
    <xf numFmtId="0" fontId="73" fillId="2" borderId="0" xfId="21" applyNumberFormat="1" applyFont="1" applyFill="1" applyBorder="1" applyAlignment="1" applyProtection="1">
      <alignment horizontal="right" vertical="center" readingOrder="2"/>
    </xf>
    <xf numFmtId="0" fontId="46" fillId="6" borderId="0" xfId="21" applyFont="1" applyFill="1" applyBorder="1" applyAlignment="1" applyProtection="1">
      <alignment horizontal="right" vertical="center" readingOrder="2"/>
    </xf>
    <xf numFmtId="0" fontId="75" fillId="6" borderId="0" xfId="21" applyFont="1" applyFill="1" applyBorder="1" applyAlignment="1" applyProtection="1">
      <alignment horizontal="right" vertical="center" readingOrder="2"/>
    </xf>
    <xf numFmtId="0" fontId="56" fillId="4" borderId="0" xfId="20" applyFont="1" applyFill="1" applyAlignment="1" applyProtection="1">
      <alignment horizontal="right" vertical="center" readingOrder="2"/>
    </xf>
    <xf numFmtId="0" fontId="18" fillId="4" borderId="0" xfId="20" applyFont="1" applyFill="1" applyAlignment="1" applyProtection="1">
      <alignment horizontal="center" vertical="center" readingOrder="2"/>
    </xf>
    <xf numFmtId="0" fontId="66" fillId="0" borderId="0" xfId="14" applyFont="1" applyAlignment="1" applyProtection="1">
      <alignment horizontal="center" vertical="center" readingOrder="2"/>
    </xf>
    <xf numFmtId="0" fontId="73" fillId="6" borderId="0" xfId="21" applyFont="1" applyFill="1" applyBorder="1" applyAlignment="1" applyProtection="1">
      <alignment horizontal="right" vertical="center" readingOrder="2"/>
    </xf>
    <xf numFmtId="0" fontId="51" fillId="6" borderId="0" xfId="21" applyFont="1" applyFill="1" applyBorder="1" applyAlignment="1" applyProtection="1">
      <alignment horizontal="right" vertical="center" readingOrder="2"/>
    </xf>
    <xf numFmtId="0" fontId="46" fillId="6" borderId="0" xfId="14" applyFont="1" applyFill="1" applyBorder="1" applyAlignment="1" applyProtection="1">
      <alignment horizontal="right" vertical="center" readingOrder="2"/>
    </xf>
    <xf numFmtId="0" fontId="56" fillId="4" borderId="0" xfId="21" applyFont="1" applyFill="1" applyAlignment="1" applyProtection="1">
      <alignment horizontal="right" vertical="center" wrapText="1" readingOrder="2"/>
    </xf>
    <xf numFmtId="0" fontId="34" fillId="4" borderId="0" xfId="14" applyFont="1" applyFill="1" applyAlignment="1" applyProtection="1">
      <alignment horizontal="right" vertical="center" readingOrder="2"/>
    </xf>
    <xf numFmtId="0" fontId="47" fillId="6" borderId="0" xfId="21" applyFont="1" applyFill="1" applyBorder="1" applyAlignment="1" applyProtection="1">
      <alignment horizontal="right" vertical="center" readingOrder="2"/>
    </xf>
    <xf numFmtId="0" fontId="55" fillId="4" borderId="2" xfId="20" applyFont="1" applyFill="1" applyBorder="1" applyAlignment="1" applyProtection="1">
      <alignment horizontal="center" vertical="center" readingOrder="2"/>
    </xf>
    <xf numFmtId="0" fontId="55" fillId="4" borderId="0" xfId="20" applyFont="1" applyFill="1" applyBorder="1" applyAlignment="1" applyProtection="1">
      <alignment horizontal="center" vertical="center" readingOrder="2"/>
    </xf>
    <xf numFmtId="0" fontId="38" fillId="2" borderId="0" xfId="22" applyFont="1" applyFill="1" applyAlignment="1" applyProtection="1">
      <alignment horizontal="center" vertical="center" readingOrder="2"/>
    </xf>
    <xf numFmtId="0" fontId="55" fillId="4" borderId="0" xfId="22" applyFont="1" applyFill="1" applyAlignment="1" applyProtection="1">
      <alignment horizontal="center" vertical="center" wrapText="1" readingOrder="2"/>
    </xf>
    <xf numFmtId="0" fontId="33" fillId="0" borderId="0" xfId="14" applyFont="1" applyAlignment="1" applyProtection="1">
      <alignment horizontal="center" vertical="center" wrapText="1" readingOrder="2"/>
    </xf>
    <xf numFmtId="0" fontId="55" fillId="4" borderId="0" xfId="21" applyFont="1" applyFill="1" applyAlignment="1" applyProtection="1">
      <alignment horizontal="center" vertical="center" readingOrder="2"/>
    </xf>
    <xf numFmtId="0" fontId="34" fillId="2" borderId="0" xfId="14" applyFont="1" applyFill="1" applyBorder="1" applyAlignment="1" applyProtection="1">
      <alignment horizontal="right" vertical="center" wrapText="1" readingOrder="2"/>
    </xf>
    <xf numFmtId="0" fontId="34" fillId="6" borderId="8" xfId="14" applyFont="1" applyFill="1" applyBorder="1" applyAlignment="1" applyProtection="1">
      <alignment horizontal="right" vertical="center" wrapText="1" readingOrder="2"/>
    </xf>
    <xf numFmtId="0" fontId="4" fillId="0" borderId="0" xfId="14" applyBorder="1" applyAlignment="1" applyProtection="1">
      <alignment horizontal="right" vertical="center" wrapText="1" readingOrder="2"/>
    </xf>
    <xf numFmtId="0" fontId="34" fillId="3" borderId="0" xfId="14" applyFont="1" applyFill="1" applyAlignment="1" applyProtection="1">
      <alignment horizontal="right" vertical="center" readingOrder="2"/>
    </xf>
    <xf numFmtId="0" fontId="28" fillId="5" borderId="0" xfId="14" applyFont="1" applyFill="1" applyBorder="1" applyAlignment="1" applyProtection="1">
      <alignment horizontal="right" vertical="center" wrapText="1" readingOrder="2"/>
    </xf>
    <xf numFmtId="0" fontId="4" fillId="0" borderId="0" xfId="14" applyBorder="1" applyAlignment="1" applyProtection="1">
      <alignment horizontal="right" vertical="center" readingOrder="2"/>
    </xf>
    <xf numFmtId="165" fontId="55" fillId="4" borderId="0" xfId="14" applyNumberFormat="1" applyFont="1" applyFill="1" applyBorder="1" applyAlignment="1" applyProtection="1">
      <alignment horizontal="center" vertical="center" readingOrder="2"/>
    </xf>
    <xf numFmtId="0" fontId="4" fillId="0" borderId="0" xfId="14" applyAlignment="1" applyProtection="1">
      <alignment horizontal="center" vertical="center" readingOrder="2"/>
    </xf>
    <xf numFmtId="165" fontId="38" fillId="2" borderId="0" xfId="14" applyNumberFormat="1" applyFont="1" applyFill="1" applyAlignment="1" applyProtection="1">
      <alignment horizontal="center" vertical="center" wrapText="1" readingOrder="2"/>
    </xf>
    <xf numFmtId="0" fontId="38" fillId="0" borderId="0" xfId="14" applyFont="1" applyAlignment="1" applyProtection="1">
      <alignment horizontal="center" vertical="center" readingOrder="2"/>
    </xf>
    <xf numFmtId="0" fontId="4" fillId="0" borderId="0" xfId="14" applyAlignment="1" applyProtection="1">
      <alignment horizontal="center" vertical="center" wrapText="1" readingOrder="2"/>
    </xf>
    <xf numFmtId="0" fontId="56" fillId="6" borderId="8" xfId="14" applyFont="1" applyFill="1" applyBorder="1" applyAlignment="1" applyProtection="1">
      <alignment horizontal="right" vertical="center" readingOrder="2"/>
    </xf>
    <xf numFmtId="0" fontId="55" fillId="4" borderId="2" xfId="14" applyFont="1" applyFill="1" applyBorder="1" applyAlignment="1" applyProtection="1">
      <alignment horizontal="center" vertical="center" readingOrder="2"/>
    </xf>
    <xf numFmtId="0" fontId="55" fillId="4" borderId="0" xfId="14" applyFont="1" applyFill="1" applyBorder="1" applyAlignment="1" applyProtection="1">
      <alignment horizontal="center" vertical="center" readingOrder="2"/>
    </xf>
    <xf numFmtId="0" fontId="43" fillId="3" borderId="0" xfId="14" applyFont="1" applyFill="1" applyAlignment="1" applyProtection="1">
      <alignment horizontal="center" vertical="center" readingOrder="2"/>
    </xf>
    <xf numFmtId="0" fontId="4" fillId="0" borderId="0" xfId="14" applyAlignment="1">
      <alignment horizontal="center"/>
    </xf>
    <xf numFmtId="0" fontId="4" fillId="0" borderId="4" xfId="14" applyBorder="1" applyAlignment="1">
      <alignment horizontal="center"/>
    </xf>
    <xf numFmtId="0" fontId="32" fillId="3" borderId="0" xfId="14" applyFont="1" applyFill="1" applyAlignment="1" applyProtection="1">
      <alignment horizontal="justify" vertical="center" wrapText="1" readingOrder="2"/>
      <protection locked="0"/>
    </xf>
    <xf numFmtId="0" fontId="0" fillId="0" borderId="0" xfId="0" applyAlignment="1">
      <alignment horizontal="justify" vertical="center" wrapText="1" readingOrder="2"/>
    </xf>
    <xf numFmtId="0" fontId="1" fillId="3" borderId="0" xfId="14" applyFont="1" applyFill="1" applyAlignment="1" applyProtection="1">
      <alignment horizontal="justify" vertical="center" wrapText="1" readingOrder="2"/>
      <protection locked="0"/>
    </xf>
    <xf numFmtId="0" fontId="1" fillId="3" borderId="0" xfId="14" applyFont="1" applyFill="1" applyBorder="1" applyAlignment="1" applyProtection="1">
      <alignment horizontal="justify" vertical="center" wrapText="1" readingOrder="2"/>
      <protection locked="0"/>
    </xf>
    <xf numFmtId="0" fontId="32" fillId="3" borderId="0" xfId="14" applyFont="1" applyFill="1" applyBorder="1" applyAlignment="1" applyProtection="1">
      <alignment horizontal="justify" vertical="center" wrapText="1" readingOrder="2"/>
      <protection locked="0"/>
    </xf>
    <xf numFmtId="0" fontId="55" fillId="4" borderId="4" xfId="14" applyFont="1" applyFill="1" applyBorder="1" applyAlignment="1">
      <alignment horizontal="center" vertical="center" readingOrder="2"/>
    </xf>
    <xf numFmtId="0" fontId="32" fillId="0" borderId="0" xfId="14" applyFont="1" applyBorder="1" applyAlignment="1">
      <alignment horizontal="center" vertical="center" readingOrder="2"/>
    </xf>
    <xf numFmtId="0" fontId="32" fillId="0" borderId="4" xfId="14" applyFont="1" applyBorder="1" applyAlignment="1">
      <alignment horizontal="center" vertical="center" readingOrder="2"/>
    </xf>
    <xf numFmtId="49" fontId="1" fillId="3" borderId="0" xfId="14" applyNumberFormat="1" applyFont="1" applyFill="1" applyBorder="1" applyAlignment="1" applyProtection="1">
      <alignment horizontal="justify" vertical="center" wrapText="1" readingOrder="2"/>
      <protection locked="0"/>
    </xf>
    <xf numFmtId="0" fontId="43" fillId="3" borderId="0" xfId="14" applyNumberFormat="1" applyFont="1" applyFill="1" applyBorder="1" applyAlignment="1">
      <alignment horizontal="center" vertical="center" readingOrder="2"/>
    </xf>
    <xf numFmtId="0" fontId="1" fillId="3" borderId="0" xfId="14" applyNumberFormat="1" applyFont="1" applyFill="1" applyBorder="1" applyAlignment="1" applyProtection="1">
      <alignment horizontal="justify" vertical="center" wrapText="1" readingOrder="2"/>
      <protection locked="0"/>
    </xf>
    <xf numFmtId="0" fontId="51" fillId="3" borderId="0" xfId="14" applyFont="1" applyFill="1" applyBorder="1" applyAlignment="1" applyProtection="1">
      <alignment horizontal="right" vertical="center" readingOrder="2"/>
      <protection locked="0"/>
    </xf>
    <xf numFmtId="49" fontId="51" fillId="3" borderId="0" xfId="14" applyNumberFormat="1" applyFont="1" applyFill="1" applyBorder="1" applyAlignment="1" applyProtection="1">
      <alignment horizontal="right" vertical="center" readingOrder="2"/>
      <protection locked="0"/>
    </xf>
    <xf numFmtId="0" fontId="0" fillId="0" borderId="0" xfId="0" applyAlignment="1" applyProtection="1">
      <alignment horizontal="justify" vertical="center" wrapText="1" readingOrder="2"/>
      <protection locked="0"/>
    </xf>
    <xf numFmtId="0" fontId="32" fillId="3" borderId="0" xfId="14" applyNumberFormat="1" applyFont="1" applyFill="1" applyBorder="1" applyAlignment="1" applyProtection="1">
      <alignment horizontal="justify" vertical="center" wrapText="1" readingOrder="2"/>
      <protection locked="0"/>
    </xf>
    <xf numFmtId="0" fontId="55" fillId="4" borderId="0" xfId="14" applyFont="1" applyFill="1" applyAlignment="1">
      <alignment horizontal="center" vertical="center" readingOrder="2"/>
    </xf>
    <xf numFmtId="49" fontId="1" fillId="3" borderId="0" xfId="14" applyNumberFormat="1" applyFont="1" applyFill="1" applyBorder="1" applyAlignment="1" applyProtection="1">
      <alignment horizontal="right" vertical="center" wrapText="1" readingOrder="2"/>
      <protection locked="0"/>
    </xf>
    <xf numFmtId="0" fontId="0" fillId="0" borderId="0" xfId="0" applyAlignment="1">
      <alignment horizontal="right" vertical="center" wrapText="1" readingOrder="2"/>
    </xf>
    <xf numFmtId="0" fontId="32" fillId="2" borderId="0" xfId="17" applyFont="1" applyFill="1" applyAlignment="1" applyProtection="1">
      <alignment horizontal="justify" vertical="center" wrapText="1"/>
    </xf>
    <xf numFmtId="0" fontId="0" fillId="0" borderId="0" xfId="0" applyAlignment="1">
      <alignment horizontal="justify" vertical="center" wrapText="1"/>
    </xf>
    <xf numFmtId="0" fontId="38" fillId="2" borderId="0" xfId="17" applyFont="1" applyFill="1" applyAlignment="1" applyProtection="1">
      <alignment horizontal="center" vertical="center" readingOrder="2"/>
    </xf>
    <xf numFmtId="0" fontId="37" fillId="5" borderId="53" xfId="17" applyFont="1" applyFill="1" applyBorder="1" applyAlignment="1" applyProtection="1">
      <alignment horizontal="center" vertical="center" readingOrder="2"/>
    </xf>
    <xf numFmtId="0" fontId="4" fillId="0" borderId="38" xfId="14" applyBorder="1" applyAlignment="1" applyProtection="1">
      <alignment horizontal="center" vertical="center" readingOrder="2"/>
    </xf>
    <xf numFmtId="0" fontId="4" fillId="0" borderId="90" xfId="14" applyBorder="1" applyAlignment="1" applyProtection="1">
      <alignment horizontal="center" vertical="center" readingOrder="2"/>
    </xf>
    <xf numFmtId="0" fontId="35" fillId="2" borderId="0" xfId="17" applyFont="1" applyFill="1" applyBorder="1" applyAlignment="1" applyProtection="1">
      <alignment horizontal="center" vertical="center" readingOrder="2"/>
    </xf>
    <xf numFmtId="0" fontId="32" fillId="2" borderId="0" xfId="14" applyFont="1" applyFill="1" applyBorder="1" applyAlignment="1" applyProtection="1">
      <alignment horizontal="center" vertical="center" readingOrder="2"/>
    </xf>
    <xf numFmtId="0" fontId="51" fillId="2" borderId="0" xfId="14" applyFont="1" applyFill="1" applyBorder="1" applyAlignment="1" applyProtection="1">
      <alignment horizontal="right" vertical="center" readingOrder="2"/>
    </xf>
    <xf numFmtId="0" fontId="51" fillId="2" borderId="0" xfId="17" applyFont="1" applyFill="1" applyAlignment="1" applyProtection="1">
      <alignment horizontal="right" vertical="center" readingOrder="2"/>
    </xf>
    <xf numFmtId="0" fontId="1" fillId="3" borderId="0" xfId="17" applyFont="1" applyFill="1" applyBorder="1" applyAlignment="1" applyProtection="1">
      <alignment horizontal="justify" vertical="center" wrapText="1" readingOrder="2"/>
      <protection locked="0"/>
    </xf>
    <xf numFmtId="0" fontId="0" fillId="0" borderId="0" xfId="0" applyBorder="1" applyAlignment="1">
      <alignment horizontal="justify" vertical="center" wrapText="1" readingOrder="2"/>
    </xf>
    <xf numFmtId="0" fontId="0" fillId="0" borderId="4" xfId="0" applyBorder="1" applyAlignment="1">
      <alignment horizontal="justify" vertical="center" wrapText="1" readingOrder="2"/>
    </xf>
    <xf numFmtId="0" fontId="4" fillId="0" borderId="0" xfId="14" applyAlignment="1" applyProtection="1">
      <alignment vertical="center" readingOrder="2"/>
    </xf>
    <xf numFmtId="0" fontId="35" fillId="2" borderId="0" xfId="14" applyFont="1" applyFill="1" applyBorder="1" applyAlignment="1" applyProtection="1">
      <alignment horizontal="right" vertical="center" readingOrder="2"/>
    </xf>
    <xf numFmtId="0" fontId="32" fillId="2" borderId="0" xfId="14" applyFont="1" applyFill="1" applyBorder="1" applyAlignment="1" applyProtection="1">
      <alignment horizontal="right" vertical="center" readingOrder="2"/>
    </xf>
    <xf numFmtId="0" fontId="37" fillId="5" borderId="8" xfId="14" applyFont="1" applyFill="1" applyBorder="1" applyAlignment="1" applyProtection="1">
      <alignment horizontal="right" vertical="center" readingOrder="2"/>
    </xf>
    <xf numFmtId="0" fontId="4" fillId="0" borderId="8" xfId="14" applyBorder="1" applyAlignment="1" applyProtection="1">
      <alignment horizontal="right" vertical="center" readingOrder="2"/>
    </xf>
    <xf numFmtId="0" fontId="33" fillId="2" borderId="45" xfId="14" applyFont="1" applyFill="1" applyBorder="1" applyAlignment="1" applyProtection="1">
      <alignment horizontal="right" vertical="center" readingOrder="2"/>
    </xf>
    <xf numFmtId="0" fontId="0" fillId="0" borderId="24" xfId="0" applyBorder="1" applyAlignment="1">
      <alignment horizontal="right" vertical="center" readingOrder="2"/>
    </xf>
    <xf numFmtId="0" fontId="0" fillId="0" borderId="47" xfId="0" applyBorder="1" applyAlignment="1">
      <alignment horizontal="right" vertical="center" readingOrder="2"/>
    </xf>
    <xf numFmtId="0" fontId="64" fillId="2" borderId="0" xfId="14" applyFont="1" applyFill="1" applyAlignment="1" applyProtection="1">
      <alignment horizontal="center" vertical="center" readingOrder="2"/>
    </xf>
    <xf numFmtId="0" fontId="1" fillId="6" borderId="8" xfId="14" applyFont="1" applyFill="1" applyBorder="1" applyAlignment="1" applyProtection="1">
      <alignment horizontal="right" vertical="center" readingOrder="2"/>
      <protection locked="0"/>
    </xf>
    <xf numFmtId="0" fontId="0" fillId="0" borderId="0" xfId="0" applyAlignment="1">
      <alignment horizontal="right" vertical="center" readingOrder="2"/>
    </xf>
    <xf numFmtId="0" fontId="0" fillId="0" borderId="9" xfId="0" applyBorder="1" applyAlignment="1">
      <alignment horizontal="right" vertical="center" readingOrder="2"/>
    </xf>
    <xf numFmtId="0" fontId="1" fillId="3" borderId="3" xfId="14" applyFont="1" applyFill="1" applyBorder="1" applyAlignment="1" applyProtection="1">
      <alignment horizontal="right" vertical="center" readingOrder="2"/>
    </xf>
    <xf numFmtId="0" fontId="32" fillId="3" borderId="3" xfId="14" applyFont="1" applyFill="1" applyBorder="1" applyAlignment="1" applyProtection="1">
      <alignment horizontal="right" vertical="center" readingOrder="2"/>
    </xf>
    <xf numFmtId="0" fontId="0" fillId="0" borderId="3" xfId="0" applyBorder="1" applyAlignment="1">
      <alignment horizontal="right" vertical="center" readingOrder="2"/>
    </xf>
    <xf numFmtId="0" fontId="0" fillId="0" borderId="0" xfId="0" applyAlignment="1">
      <alignment vertical="center" readingOrder="2"/>
    </xf>
    <xf numFmtId="0" fontId="32" fillId="2" borderId="0" xfId="14" applyFont="1" applyFill="1" applyAlignment="1" applyProtection="1">
      <alignment horizontal="justify" vertical="center" wrapText="1" readingOrder="2"/>
    </xf>
    <xf numFmtId="0" fontId="32" fillId="3" borderId="0" xfId="14" applyFont="1" applyFill="1" applyBorder="1" applyAlignment="1" applyProtection="1">
      <alignment horizontal="justify" vertical="center" readingOrder="2"/>
      <protection locked="0"/>
    </xf>
    <xf numFmtId="0" fontId="0" fillId="0" borderId="0" xfId="0" applyAlignment="1" applyProtection="1">
      <alignment horizontal="justify" vertical="center" readingOrder="2"/>
      <protection locked="0"/>
    </xf>
    <xf numFmtId="0" fontId="55" fillId="4" borderId="0" xfId="26" applyFont="1" applyFill="1" applyAlignment="1" applyProtection="1">
      <alignment horizontal="center" vertical="center" readingOrder="2"/>
    </xf>
    <xf numFmtId="49" fontId="37" fillId="5" borderId="134" xfId="26" applyNumberFormat="1" applyFont="1" applyFill="1" applyBorder="1" applyAlignment="1" applyProtection="1">
      <alignment horizontal="right" vertical="center" wrapText="1" readingOrder="2"/>
    </xf>
    <xf numFmtId="49" fontId="35" fillId="0" borderId="138" xfId="14" applyNumberFormat="1" applyFont="1" applyBorder="1" applyAlignment="1" applyProtection="1">
      <alignment horizontal="right" vertical="center" readingOrder="2"/>
    </xf>
    <xf numFmtId="49" fontId="37" fillId="5" borderId="215" xfId="26" applyNumberFormat="1" applyFont="1" applyFill="1" applyBorder="1" applyAlignment="1" applyProtection="1">
      <alignment horizontal="right" vertical="center" wrapText="1" readingOrder="2"/>
    </xf>
    <xf numFmtId="49" fontId="37" fillId="5" borderId="260" xfId="26" applyNumberFormat="1" applyFont="1" applyFill="1" applyBorder="1" applyAlignment="1" applyProtection="1">
      <alignment horizontal="right" vertical="center" wrapText="1" readingOrder="2"/>
    </xf>
    <xf numFmtId="49" fontId="35" fillId="0" borderId="138" xfId="14" applyNumberFormat="1" applyFont="1" applyBorder="1" applyAlignment="1" applyProtection="1">
      <alignment horizontal="right" vertical="center" wrapText="1" readingOrder="2"/>
    </xf>
    <xf numFmtId="0" fontId="34" fillId="2" borderId="67" xfId="26" applyFont="1" applyFill="1" applyBorder="1" applyAlignment="1" applyProtection="1">
      <alignment horizontal="right" vertical="center" readingOrder="2"/>
    </xf>
    <xf numFmtId="49" fontId="35" fillId="2" borderId="44" xfId="26" applyNumberFormat="1" applyFont="1" applyFill="1" applyBorder="1" applyAlignment="1" applyProtection="1">
      <alignment horizontal="right" vertical="center" wrapText="1" readingOrder="2"/>
    </xf>
    <xf numFmtId="0" fontId="35" fillId="2" borderId="46" xfId="14" applyFont="1" applyFill="1" applyBorder="1" applyAlignment="1" applyProtection="1">
      <alignment horizontal="right" vertical="center" readingOrder="2"/>
    </xf>
    <xf numFmtId="0" fontId="35" fillId="2" borderId="44" xfId="26" applyFont="1" applyFill="1" applyBorder="1" applyAlignment="1" applyProtection="1">
      <alignment horizontal="right" vertical="center" wrapText="1" readingOrder="2"/>
    </xf>
    <xf numFmtId="0" fontId="35" fillId="2" borderId="46" xfId="14" applyFont="1" applyFill="1" applyBorder="1" applyAlignment="1" applyProtection="1">
      <alignment horizontal="right" vertical="center" wrapText="1" readingOrder="2"/>
    </xf>
    <xf numFmtId="0" fontId="68" fillId="2" borderId="44" xfId="26" applyFont="1" applyFill="1" applyBorder="1" applyAlignment="1" applyProtection="1">
      <alignment horizontal="center" vertical="center" shrinkToFit="1" readingOrder="2"/>
    </xf>
    <xf numFmtId="0" fontId="68" fillId="2" borderId="166" xfId="26" applyFont="1" applyFill="1" applyBorder="1" applyAlignment="1" applyProtection="1">
      <alignment horizontal="center" vertical="center" shrinkToFit="1" readingOrder="2"/>
    </xf>
    <xf numFmtId="0" fontId="38" fillId="2" borderId="0" xfId="26" applyFont="1" applyFill="1" applyAlignment="1" applyProtection="1">
      <alignment horizontal="center" vertical="center" readingOrder="2"/>
    </xf>
    <xf numFmtId="0" fontId="34" fillId="6" borderId="88" xfId="26" applyFont="1" applyFill="1" applyBorder="1" applyAlignment="1" applyProtection="1">
      <alignment horizontal="right" vertical="center" readingOrder="2"/>
    </xf>
    <xf numFmtId="0" fontId="34" fillId="0" borderId="89" xfId="14" applyFont="1" applyBorder="1" applyAlignment="1" applyProtection="1">
      <alignment horizontal="right" vertical="center" readingOrder="2"/>
    </xf>
    <xf numFmtId="49" fontId="37" fillId="5" borderId="135" xfId="26" applyNumberFormat="1" applyFont="1" applyFill="1" applyBorder="1" applyAlignment="1" applyProtection="1">
      <alignment horizontal="right" vertical="center" wrapText="1" readingOrder="2"/>
    </xf>
    <xf numFmtId="49" fontId="35" fillId="0" borderId="139" xfId="14" applyNumberFormat="1" applyFont="1" applyBorder="1" applyAlignment="1" applyProtection="1">
      <alignment horizontal="right" vertical="center" readingOrder="2"/>
    </xf>
    <xf numFmtId="0" fontId="34" fillId="6" borderId="89" xfId="26" applyFont="1" applyFill="1" applyBorder="1" applyAlignment="1" applyProtection="1">
      <alignment horizontal="right" vertical="center" wrapText="1" readingOrder="2"/>
    </xf>
    <xf numFmtId="0" fontId="34" fillId="0" borderId="18" xfId="14" applyFont="1" applyBorder="1" applyAlignment="1" applyProtection="1">
      <alignment horizontal="right" vertical="center" readingOrder="2"/>
    </xf>
    <xf numFmtId="49" fontId="34" fillId="6" borderId="88" xfId="26" applyNumberFormat="1" applyFont="1" applyFill="1" applyBorder="1" applyAlignment="1" applyProtection="1">
      <alignment horizontal="right" vertical="center" readingOrder="2"/>
    </xf>
    <xf numFmtId="170" fontId="55" fillId="4" borderId="0" xfId="8" applyNumberFormat="1" applyFont="1" applyFill="1" applyBorder="1" applyAlignment="1" applyProtection="1">
      <alignment horizontal="center" vertical="center" readingOrder="2"/>
    </xf>
    <xf numFmtId="170" fontId="55" fillId="4" borderId="4" xfId="8" applyNumberFormat="1" applyFont="1" applyFill="1" applyBorder="1" applyAlignment="1" applyProtection="1">
      <alignment horizontal="center" vertical="center" readingOrder="2"/>
    </xf>
    <xf numFmtId="170" fontId="38" fillId="4" borderId="0" xfId="8" applyNumberFormat="1" applyFont="1" applyFill="1" applyBorder="1" applyAlignment="1" applyProtection="1">
      <alignment horizontal="center" vertical="center" readingOrder="2"/>
    </xf>
    <xf numFmtId="170" fontId="38" fillId="4" borderId="4" xfId="8" applyNumberFormat="1" applyFont="1" applyFill="1" applyBorder="1" applyAlignment="1" applyProtection="1">
      <alignment horizontal="center" vertical="center" readingOrder="2"/>
    </xf>
    <xf numFmtId="170" fontId="38" fillId="2" borderId="0" xfId="14" applyNumberFormat="1" applyFont="1" applyFill="1" applyAlignment="1" applyProtection="1">
      <alignment horizontal="center" vertical="center" readingOrder="2"/>
    </xf>
    <xf numFmtId="170" fontId="38" fillId="2" borderId="0" xfId="8" applyNumberFormat="1" applyFont="1" applyFill="1" applyBorder="1" applyAlignment="1" applyProtection="1">
      <alignment horizontal="center" vertical="center" readingOrder="2"/>
    </xf>
    <xf numFmtId="170" fontId="55" fillId="4" borderId="2" xfId="8" applyNumberFormat="1" applyFont="1" applyFill="1" applyBorder="1" applyAlignment="1" applyProtection="1">
      <alignment horizontal="center" vertical="center" readingOrder="2"/>
    </xf>
    <xf numFmtId="0" fontId="87" fillId="0" borderId="0" xfId="14" applyFont="1" applyAlignment="1" applyProtection="1">
      <alignment horizontal="center" vertical="center" readingOrder="2"/>
    </xf>
    <xf numFmtId="49" fontId="28" fillId="5" borderId="77" xfId="8" applyNumberFormat="1" applyFont="1" applyFill="1" applyBorder="1" applyAlignment="1" applyProtection="1">
      <alignment horizontal="center" vertical="center" readingOrder="2"/>
    </xf>
    <xf numFmtId="49" fontId="68" fillId="5" borderId="77" xfId="14" applyNumberFormat="1" applyFont="1" applyFill="1" applyBorder="1" applyAlignment="1" applyProtection="1">
      <alignment horizontal="center" vertical="center" readingOrder="2"/>
    </xf>
    <xf numFmtId="3" fontId="28" fillId="5" borderId="8" xfId="31" applyNumberFormat="1" applyFont="1" applyFill="1" applyBorder="1" applyAlignment="1" applyProtection="1">
      <alignment horizontal="right" vertical="center" readingOrder="2"/>
    </xf>
    <xf numFmtId="0" fontId="4" fillId="0" borderId="37" xfId="14" applyBorder="1" applyAlignment="1" applyProtection="1">
      <alignment horizontal="right" vertical="center" readingOrder="2"/>
    </xf>
    <xf numFmtId="1" fontId="28" fillId="5" borderId="261" xfId="31" applyNumberFormat="1" applyFont="1" applyFill="1" applyBorder="1" applyAlignment="1" applyProtection="1">
      <alignment horizontal="center" vertical="center" readingOrder="2"/>
    </xf>
    <xf numFmtId="0" fontId="28" fillId="5" borderId="261" xfId="31" applyFont="1" applyFill="1" applyBorder="1" applyAlignment="1" applyProtection="1">
      <alignment horizontal="center" vertical="center" readingOrder="2"/>
    </xf>
    <xf numFmtId="0" fontId="28" fillId="5" borderId="262" xfId="31" applyFont="1" applyFill="1" applyBorder="1" applyAlignment="1" applyProtection="1">
      <alignment horizontal="center" vertical="center" readingOrder="2"/>
    </xf>
    <xf numFmtId="0" fontId="55" fillId="4" borderId="0" xfId="31" applyFont="1" applyFill="1" applyBorder="1" applyAlignment="1" applyProtection="1">
      <alignment horizontal="center" vertical="center" readingOrder="2"/>
    </xf>
    <xf numFmtId="0" fontId="4" fillId="0" borderId="4" xfId="14" applyBorder="1" applyAlignment="1" applyProtection="1">
      <alignment horizontal="center" vertical="center" readingOrder="2"/>
    </xf>
    <xf numFmtId="0" fontId="55" fillId="4" borderId="0" xfId="31" applyNumberFormat="1" applyFont="1" applyFill="1" applyAlignment="1" applyProtection="1">
      <alignment horizontal="center" vertical="center"/>
    </xf>
    <xf numFmtId="0" fontId="4" fillId="0" borderId="0" xfId="14" applyNumberFormat="1" applyAlignment="1" applyProtection="1"/>
    <xf numFmtId="3" fontId="18" fillId="4" borderId="0" xfId="31" applyNumberFormat="1" applyFont="1" applyFill="1" applyAlignment="1" applyProtection="1">
      <alignment horizontal="center" vertical="center" readingOrder="2"/>
    </xf>
    <xf numFmtId="3" fontId="38" fillId="2" borderId="0" xfId="31" applyNumberFormat="1" applyFont="1" applyFill="1" applyAlignment="1" applyProtection="1">
      <alignment horizontal="center" vertical="center" readingOrder="2"/>
    </xf>
    <xf numFmtId="0" fontId="38" fillId="2" borderId="0" xfId="31" applyFont="1" applyFill="1" applyAlignment="1" applyProtection="1">
      <alignment horizontal="center" vertical="center" readingOrder="2"/>
    </xf>
    <xf numFmtId="3" fontId="35" fillId="2" borderId="0" xfId="31" applyNumberFormat="1" applyFont="1" applyFill="1" applyBorder="1" applyAlignment="1" applyProtection="1">
      <alignment horizontal="right" vertical="center" readingOrder="2"/>
    </xf>
    <xf numFmtId="1" fontId="35" fillId="2" borderId="24" xfId="31" applyNumberFormat="1" applyFont="1" applyFill="1" applyBorder="1" applyAlignment="1" applyProtection="1">
      <alignment horizontal="center" vertical="center" readingOrder="2"/>
    </xf>
    <xf numFmtId="49" fontId="35" fillId="2" borderId="24" xfId="31" applyNumberFormat="1" applyFont="1" applyFill="1" applyBorder="1" applyAlignment="1" applyProtection="1">
      <alignment horizontal="center" vertical="center" readingOrder="2"/>
    </xf>
    <xf numFmtId="0" fontId="28" fillId="5" borderId="6" xfId="14" applyFont="1" applyFill="1" applyBorder="1" applyAlignment="1">
      <alignment horizontal="center" vertical="center" readingOrder="2"/>
    </xf>
    <xf numFmtId="0" fontId="55" fillId="4" borderId="0" xfId="29" applyFont="1" applyFill="1" applyAlignment="1" applyProtection="1">
      <alignment horizontal="center" vertical="center" readingOrder="2"/>
    </xf>
    <xf numFmtId="3" fontId="55" fillId="4" borderId="0" xfId="24" applyNumberFormat="1" applyFont="1" applyFill="1" applyAlignment="1" applyProtection="1">
      <alignment horizontal="center" vertical="center" readingOrder="2"/>
    </xf>
    <xf numFmtId="3" fontId="55" fillId="4" borderId="0" xfId="24" applyNumberFormat="1" applyFont="1" applyFill="1" applyBorder="1" applyAlignment="1" applyProtection="1">
      <alignment horizontal="center" vertical="center" readingOrder="2"/>
    </xf>
    <xf numFmtId="3" fontId="55" fillId="4" borderId="4" xfId="24" applyNumberFormat="1" applyFont="1" applyFill="1" applyBorder="1" applyAlignment="1" applyProtection="1">
      <alignment horizontal="center" vertical="center" readingOrder="2"/>
    </xf>
    <xf numFmtId="0" fontId="28" fillId="5" borderId="90" xfId="24" applyFont="1" applyFill="1" applyBorder="1" applyAlignment="1" applyProtection="1">
      <alignment horizontal="right" vertical="center" readingOrder="2"/>
    </xf>
    <xf numFmtId="0" fontId="4" fillId="0" borderId="21" xfId="14" applyBorder="1" applyAlignment="1" applyProtection="1">
      <alignment horizontal="right" vertical="center" readingOrder="2"/>
    </xf>
    <xf numFmtId="0" fontId="28" fillId="5" borderId="27" xfId="24" applyFont="1" applyFill="1" applyBorder="1" applyAlignment="1" applyProtection="1">
      <alignment horizontal="center" vertical="center" readingOrder="2"/>
    </xf>
    <xf numFmtId="0" fontId="28" fillId="5" borderId="38" xfId="24" applyFont="1" applyFill="1" applyBorder="1" applyAlignment="1" applyProtection="1">
      <alignment horizontal="right" vertical="center" readingOrder="2"/>
    </xf>
    <xf numFmtId="0" fontId="4" fillId="0" borderId="3" xfId="14" applyBorder="1" applyAlignment="1" applyProtection="1">
      <alignment horizontal="right" vertical="center" readingOrder="2"/>
    </xf>
    <xf numFmtId="3" fontId="37" fillId="5" borderId="38" xfId="24" applyNumberFormat="1" applyFont="1" applyFill="1" applyBorder="1" applyAlignment="1" applyProtection="1">
      <alignment horizontal="right" vertical="center" readingOrder="2"/>
    </xf>
    <xf numFmtId="0" fontId="35" fillId="0" borderId="3" xfId="14" applyFont="1" applyBorder="1" applyAlignment="1" applyProtection="1">
      <alignment horizontal="right" vertical="center" readingOrder="2"/>
    </xf>
    <xf numFmtId="3" fontId="28" fillId="5" borderId="38" xfId="24" applyNumberFormat="1" applyFont="1" applyFill="1" applyBorder="1" applyAlignment="1" applyProtection="1">
      <alignment horizontal="right" vertical="center" readingOrder="2"/>
    </xf>
    <xf numFmtId="3" fontId="38" fillId="2" borderId="0" xfId="24" applyNumberFormat="1" applyFont="1" applyFill="1" applyAlignment="1" applyProtection="1">
      <alignment horizontal="center" vertical="center" readingOrder="2"/>
    </xf>
    <xf numFmtId="0" fontId="38" fillId="2" borderId="0" xfId="24" applyFont="1" applyFill="1" applyAlignment="1" applyProtection="1">
      <alignment horizontal="center" vertical="center" readingOrder="2"/>
    </xf>
    <xf numFmtId="0" fontId="4" fillId="0" borderId="3" xfId="14" applyBorder="1" applyProtection="1"/>
    <xf numFmtId="0" fontId="37" fillId="5" borderId="38" xfId="24" applyFont="1" applyFill="1" applyBorder="1" applyAlignment="1" applyProtection="1">
      <alignment horizontal="right" vertical="center" readingOrder="2"/>
    </xf>
    <xf numFmtId="0" fontId="55" fillId="4" borderId="0" xfId="24" applyFont="1" applyFill="1" applyAlignment="1" applyProtection="1">
      <alignment horizontal="center" vertical="center" readingOrder="2"/>
    </xf>
    <xf numFmtId="0" fontId="28" fillId="5" borderId="255" xfId="24" applyFont="1" applyFill="1" applyBorder="1" applyAlignment="1" applyProtection="1">
      <alignment horizontal="right" vertical="center" readingOrder="2"/>
    </xf>
    <xf numFmtId="0" fontId="4" fillId="0" borderId="89" xfId="14" applyBorder="1" applyAlignment="1" applyProtection="1">
      <alignment horizontal="right" vertical="center" readingOrder="2"/>
    </xf>
    <xf numFmtId="3" fontId="38" fillId="2" borderId="0" xfId="27" applyNumberFormat="1" applyFont="1" applyFill="1" applyAlignment="1">
      <alignment horizontal="center" vertical="center" readingOrder="2"/>
    </xf>
    <xf numFmtId="0" fontId="38" fillId="2" borderId="0" xfId="27" applyFont="1" applyFill="1" applyAlignment="1">
      <alignment horizontal="center" vertical="center" readingOrder="2"/>
    </xf>
    <xf numFmtId="0" fontId="68" fillId="5" borderId="32" xfId="27" applyFont="1" applyFill="1" applyBorder="1" applyAlignment="1">
      <alignment horizontal="right" vertical="center" readingOrder="2"/>
    </xf>
    <xf numFmtId="0" fontId="4" fillId="0" borderId="35" xfId="14" applyBorder="1" applyAlignment="1">
      <alignment horizontal="right" vertical="center" readingOrder="2"/>
    </xf>
    <xf numFmtId="0" fontId="68" fillId="5" borderId="31" xfId="27" applyFont="1" applyFill="1" applyBorder="1" applyAlignment="1">
      <alignment horizontal="right" vertical="center" readingOrder="2"/>
    </xf>
    <xf numFmtId="0" fontId="4" fillId="0" borderId="34" xfId="14" applyBorder="1" applyAlignment="1">
      <alignment horizontal="right" vertical="center" readingOrder="2"/>
    </xf>
    <xf numFmtId="3" fontId="55" fillId="4" borderId="0" xfId="24" applyNumberFormat="1" applyFont="1" applyFill="1" applyAlignment="1">
      <alignment horizontal="center" vertical="center" readingOrder="2"/>
    </xf>
    <xf numFmtId="0" fontId="32" fillId="0" borderId="0" xfId="14" applyFont="1" applyAlignment="1">
      <alignment horizontal="center" vertical="center" readingOrder="2"/>
    </xf>
    <xf numFmtId="0" fontId="34" fillId="3" borderId="8" xfId="24" applyFont="1" applyFill="1" applyBorder="1" applyAlignment="1" applyProtection="1">
      <alignment horizontal="center" vertical="center" readingOrder="2"/>
    </xf>
    <xf numFmtId="0" fontId="28" fillId="5" borderId="38" xfId="24" applyFont="1" applyFill="1" applyBorder="1" applyAlignment="1" applyProtection="1">
      <alignment horizontal="center" vertical="center" readingOrder="2"/>
    </xf>
    <xf numFmtId="0" fontId="4" fillId="0" borderId="3" xfId="14" applyBorder="1" applyAlignment="1" applyProtection="1">
      <alignment horizontal="center" vertical="center" readingOrder="2"/>
    </xf>
    <xf numFmtId="3" fontId="28" fillId="5" borderId="38" xfId="24" applyNumberFormat="1" applyFont="1" applyFill="1" applyBorder="1" applyAlignment="1" applyProtection="1">
      <alignment horizontal="center" vertical="center" readingOrder="2"/>
    </xf>
    <xf numFmtId="0" fontId="28" fillId="5" borderId="255" xfId="24" applyFont="1" applyFill="1" applyBorder="1" applyAlignment="1" applyProtection="1">
      <alignment horizontal="center" vertical="center" readingOrder="2"/>
    </xf>
    <xf numFmtId="0" fontId="4" fillId="0" borderId="89" xfId="14" applyBorder="1" applyAlignment="1" applyProtection="1">
      <alignment horizontal="center" vertical="center" readingOrder="2"/>
    </xf>
    <xf numFmtId="0" fontId="28" fillId="5" borderId="3" xfId="24" applyFont="1" applyFill="1" applyBorder="1" applyAlignment="1" applyProtection="1">
      <alignment horizontal="center" vertical="center" readingOrder="2"/>
    </xf>
    <xf numFmtId="0" fontId="35" fillId="2" borderId="0" xfId="30" applyFont="1" applyFill="1" applyAlignment="1" applyProtection="1">
      <alignment horizontal="right" vertical="center" readingOrder="2"/>
    </xf>
    <xf numFmtId="0" fontId="55" fillId="4" borderId="0" xfId="30" applyFont="1" applyFill="1" applyAlignment="1" applyProtection="1">
      <alignment horizontal="center" vertical="center" readingOrder="2"/>
    </xf>
    <xf numFmtId="0" fontId="98" fillId="4" borderId="0" xfId="30" applyFont="1" applyFill="1" applyAlignment="1" applyProtection="1">
      <alignment horizontal="center" vertical="center" readingOrder="2"/>
    </xf>
    <xf numFmtId="0" fontId="91" fillId="0" borderId="0" xfId="14" applyFont="1" applyAlignment="1" applyProtection="1">
      <alignment vertical="center" readingOrder="2"/>
    </xf>
    <xf numFmtId="0" fontId="28" fillId="5" borderId="27" xfId="14" applyFont="1" applyFill="1" applyBorder="1" applyAlignment="1" applyProtection="1">
      <alignment horizontal="right" vertical="center" readingOrder="2"/>
    </xf>
    <xf numFmtId="0" fontId="28" fillId="5" borderId="28" xfId="14" applyFont="1" applyFill="1" applyBorder="1" applyAlignment="1" applyProtection="1">
      <alignment horizontal="right" vertical="center" readingOrder="2"/>
    </xf>
    <xf numFmtId="0" fontId="64" fillId="2" borderId="0" xfId="30" applyFont="1" applyFill="1" applyAlignment="1" applyProtection="1">
      <alignment horizontal="center" vertical="center" readingOrder="2"/>
    </xf>
    <xf numFmtId="0" fontId="28" fillId="5" borderId="27" xfId="14" applyFont="1" applyFill="1" applyBorder="1" applyAlignment="1" applyProtection="1">
      <alignment horizontal="center" vertical="center" readingOrder="2"/>
    </xf>
    <xf numFmtId="165" fontId="35" fillId="2" borderId="0" xfId="28" applyNumberFormat="1" applyFont="1" applyFill="1" applyAlignment="1">
      <alignment horizontal="center" vertical="center" readingOrder="2"/>
    </xf>
    <xf numFmtId="165" fontId="34" fillId="2" borderId="0" xfId="28" applyNumberFormat="1" applyFont="1" applyFill="1" applyAlignment="1">
      <alignment horizontal="right" vertical="center" readingOrder="2"/>
    </xf>
    <xf numFmtId="165" fontId="35" fillId="2" borderId="24" xfId="28" applyNumberFormat="1" applyFont="1" applyFill="1" applyBorder="1" applyAlignment="1">
      <alignment horizontal="center" vertical="center" shrinkToFit="1" readingOrder="2"/>
    </xf>
    <xf numFmtId="165" fontId="35" fillId="2" borderId="24" xfId="28" applyNumberFormat="1" applyFont="1" applyFill="1" applyBorder="1" applyAlignment="1">
      <alignment horizontal="center" vertical="center" readingOrder="2"/>
    </xf>
    <xf numFmtId="165" fontId="92" fillId="4" borderId="0" xfId="23" applyNumberFormat="1" applyFont="1" applyFill="1" applyBorder="1" applyAlignment="1">
      <alignment horizontal="center" vertical="center" readingOrder="2"/>
    </xf>
    <xf numFmtId="165" fontId="92" fillId="4" borderId="4" xfId="23" applyNumberFormat="1" applyFont="1" applyFill="1" applyBorder="1" applyAlignment="1">
      <alignment horizontal="center" vertical="center" readingOrder="2"/>
    </xf>
    <xf numFmtId="0" fontId="56" fillId="2" borderId="0" xfId="28" applyFont="1" applyFill="1" applyBorder="1" applyAlignment="1">
      <alignment horizontal="center" vertical="center" readingOrder="2"/>
    </xf>
    <xf numFmtId="0" fontId="4" fillId="2" borderId="0" xfId="14" applyFill="1" applyBorder="1" applyAlignment="1">
      <alignment horizontal="center" vertical="center" readingOrder="2"/>
    </xf>
    <xf numFmtId="0" fontId="56" fillId="3" borderId="0" xfId="28" applyFont="1" applyFill="1" applyAlignment="1">
      <alignment horizontal="center" vertical="center" readingOrder="2"/>
    </xf>
    <xf numFmtId="0" fontId="4" fillId="0" borderId="0" xfId="14" applyAlignment="1">
      <alignment horizontal="center" vertical="center" readingOrder="2"/>
    </xf>
    <xf numFmtId="165" fontId="38" fillId="2" borderId="0" xfId="28" applyNumberFormat="1" applyFont="1" applyFill="1" applyBorder="1" applyAlignment="1">
      <alignment horizontal="center" vertical="center" readingOrder="2"/>
    </xf>
    <xf numFmtId="0" fontId="38" fillId="0" borderId="0" xfId="14" applyFont="1" applyBorder="1" applyAlignment="1">
      <alignment horizontal="center" vertical="center" readingOrder="2"/>
    </xf>
    <xf numFmtId="0" fontId="51" fillId="2" borderId="0" xfId="28" applyFont="1" applyFill="1" applyBorder="1" applyAlignment="1">
      <alignment horizontal="center" vertical="center" readingOrder="2"/>
    </xf>
    <xf numFmtId="1" fontId="37" fillId="5" borderId="6" xfId="8" applyNumberFormat="1" applyFont="1" applyFill="1" applyBorder="1" applyAlignment="1">
      <alignment horizontal="center" vertical="center" readingOrder="2"/>
    </xf>
    <xf numFmtId="1" fontId="37" fillId="5" borderId="6" xfId="28" applyNumberFormat="1" applyFont="1" applyFill="1" applyBorder="1" applyAlignment="1">
      <alignment horizontal="center" vertical="center" readingOrder="2"/>
    </xf>
    <xf numFmtId="1" fontId="37" fillId="5" borderId="7" xfId="28" applyNumberFormat="1" applyFont="1" applyFill="1" applyBorder="1" applyAlignment="1">
      <alignment horizontal="center" vertical="center" readingOrder="2"/>
    </xf>
    <xf numFmtId="1" fontId="37" fillId="5" borderId="38" xfId="8" applyNumberFormat="1" applyFont="1" applyFill="1" applyBorder="1" applyAlignment="1">
      <alignment horizontal="center" vertical="center" shrinkToFit="1" readingOrder="2"/>
    </xf>
    <xf numFmtId="1" fontId="37" fillId="5" borderId="3" xfId="8" applyNumberFormat="1" applyFont="1" applyFill="1" applyBorder="1" applyAlignment="1">
      <alignment horizontal="center" vertical="center" shrinkToFit="1" readingOrder="2"/>
    </xf>
    <xf numFmtId="1" fontId="37" fillId="5" borderId="6" xfId="8" applyNumberFormat="1" applyFont="1" applyFill="1" applyBorder="1" applyAlignment="1">
      <alignment horizontal="center" vertical="center" shrinkToFit="1" readingOrder="2"/>
    </xf>
    <xf numFmtId="1" fontId="37" fillId="5" borderId="6" xfId="28" applyNumberFormat="1" applyFont="1" applyFill="1" applyBorder="1" applyAlignment="1">
      <alignment horizontal="center" vertical="center" shrinkToFit="1" readingOrder="2"/>
    </xf>
    <xf numFmtId="1" fontId="37" fillId="5" borderId="7" xfId="28" applyNumberFormat="1" applyFont="1" applyFill="1" applyBorder="1" applyAlignment="1">
      <alignment horizontal="center" vertical="center" shrinkToFit="1" readingOrder="2"/>
    </xf>
    <xf numFmtId="0" fontId="55" fillId="4" borderId="0" xfId="31" applyFont="1" applyFill="1" applyAlignment="1" applyProtection="1">
      <alignment horizontal="center" vertical="center" readingOrder="2"/>
    </xf>
    <xf numFmtId="0" fontId="4" fillId="0" borderId="0" xfId="14" applyProtection="1"/>
    <xf numFmtId="0" fontId="55" fillId="4" borderId="0" xfId="32" applyFont="1" applyFill="1" applyAlignment="1" applyProtection="1">
      <alignment horizontal="center" vertical="center" readingOrder="2"/>
    </xf>
    <xf numFmtId="0" fontId="55" fillId="0" borderId="0" xfId="14" applyFont="1" applyAlignment="1" applyProtection="1">
      <alignment horizontal="center" vertical="center" readingOrder="2"/>
    </xf>
    <xf numFmtId="0" fontId="35" fillId="2" borderId="24" xfId="32" applyFont="1" applyFill="1" applyBorder="1" applyAlignment="1" applyProtection="1">
      <alignment horizontal="center" vertical="center" readingOrder="2"/>
    </xf>
    <xf numFmtId="0" fontId="35" fillId="2" borderId="24" xfId="14" applyFont="1" applyFill="1" applyBorder="1" applyAlignment="1" applyProtection="1">
      <alignment horizontal="center" vertical="center" readingOrder="2"/>
    </xf>
    <xf numFmtId="0" fontId="38" fillId="2" borderId="0" xfId="32" applyFont="1" applyFill="1" applyAlignment="1" applyProtection="1">
      <alignment horizontal="center" vertical="center" readingOrder="2"/>
    </xf>
    <xf numFmtId="0" fontId="28" fillId="5" borderId="27" xfId="32" applyFont="1" applyFill="1" applyBorder="1" applyAlignment="1" applyProtection="1">
      <alignment horizontal="center" vertical="center" readingOrder="2"/>
    </xf>
    <xf numFmtId="0" fontId="38" fillId="0" borderId="4" xfId="14" applyFont="1" applyBorder="1" applyAlignment="1" applyProtection="1">
      <alignment horizontal="center" vertical="center" readingOrder="2"/>
    </xf>
    <xf numFmtId="0" fontId="32" fillId="6" borderId="8" xfId="14" applyFont="1" applyFill="1" applyBorder="1" applyAlignment="1" applyProtection="1">
      <alignment horizontal="right" vertical="center" readingOrder="2"/>
    </xf>
    <xf numFmtId="0" fontId="32" fillId="6" borderId="0" xfId="14" applyFont="1" applyFill="1" applyBorder="1" applyAlignment="1" applyProtection="1">
      <alignment horizontal="right" vertical="center" readingOrder="2"/>
    </xf>
    <xf numFmtId="0" fontId="22" fillId="3" borderId="0" xfId="11" applyFont="1" applyFill="1" applyBorder="1" applyAlignment="1" applyProtection="1">
      <alignment horizontal="right" vertical="top" readingOrder="2"/>
    </xf>
    <xf numFmtId="0" fontId="22" fillId="0" borderId="0" xfId="11" applyFont="1" applyAlignment="1" applyProtection="1">
      <alignment horizontal="right" readingOrder="2"/>
    </xf>
    <xf numFmtId="0" fontId="4" fillId="0" borderId="0" xfId="14" applyAlignment="1" applyProtection="1">
      <alignment horizontal="right" vertical="center" readingOrder="2"/>
    </xf>
    <xf numFmtId="0" fontId="112" fillId="2" borderId="0" xfId="14" applyFont="1" applyFill="1" applyBorder="1" applyAlignment="1" applyProtection="1">
      <alignment horizontal="center" vertical="center" readingOrder="2"/>
    </xf>
    <xf numFmtId="0" fontId="33" fillId="0" borderId="4" xfId="14" applyFont="1" applyBorder="1" applyAlignment="1" applyProtection="1">
      <alignment horizontal="center" vertical="center" readingOrder="2"/>
    </xf>
    <xf numFmtId="0" fontId="4" fillId="0" borderId="0" xfId="14" applyBorder="1" applyAlignment="1" applyProtection="1">
      <alignment horizontal="center" vertical="center" readingOrder="2"/>
    </xf>
    <xf numFmtId="0" fontId="33" fillId="0" borderId="0" xfId="14" applyFont="1" applyBorder="1" applyAlignment="1" applyProtection="1">
      <alignment horizontal="center" vertical="center" readingOrder="2"/>
    </xf>
    <xf numFmtId="0" fontId="55" fillId="4" borderId="4" xfId="14" applyFont="1" applyFill="1" applyBorder="1" applyAlignment="1" applyProtection="1">
      <alignment horizontal="center" vertical="center" readingOrder="2"/>
    </xf>
    <xf numFmtId="0" fontId="35" fillId="3" borderId="3" xfId="14" applyFont="1" applyFill="1" applyBorder="1" applyAlignment="1" applyProtection="1">
      <alignment horizontal="right" vertical="center" readingOrder="2"/>
    </xf>
    <xf numFmtId="0" fontId="32" fillId="2" borderId="0" xfId="20" applyFont="1" applyFill="1" applyBorder="1" applyAlignment="1">
      <alignment horizontal="right" vertical="center" readingOrder="2"/>
    </xf>
    <xf numFmtId="0" fontId="38" fillId="2" borderId="0" xfId="14" applyFont="1" applyFill="1" applyAlignment="1">
      <alignment horizontal="center" vertical="center" readingOrder="2"/>
    </xf>
    <xf numFmtId="0" fontId="32" fillId="6" borderId="8" xfId="14" applyFont="1" applyFill="1" applyBorder="1" applyAlignment="1">
      <alignment horizontal="right" vertical="center" readingOrder="2"/>
    </xf>
    <xf numFmtId="0" fontId="32" fillId="6" borderId="0" xfId="14" applyFont="1" applyFill="1" applyBorder="1" applyAlignment="1">
      <alignment horizontal="right" vertical="center" readingOrder="2"/>
    </xf>
    <xf numFmtId="0" fontId="38" fillId="0" borderId="4" xfId="14" applyFont="1" applyBorder="1" applyAlignment="1">
      <alignment horizontal="center" vertical="center" readingOrder="2"/>
    </xf>
    <xf numFmtId="0" fontId="87" fillId="4" borderId="0" xfId="14" applyFont="1" applyFill="1" applyBorder="1" applyAlignment="1">
      <alignment horizontal="center" vertical="center" readingOrder="2"/>
    </xf>
    <xf numFmtId="0" fontId="33" fillId="0" borderId="4" xfId="14" applyFont="1" applyBorder="1" applyAlignment="1">
      <alignment horizontal="center" vertical="center" readingOrder="2"/>
    </xf>
    <xf numFmtId="0" fontId="99" fillId="2" borderId="0" xfId="25" applyFont="1" applyFill="1" applyAlignment="1" applyProtection="1">
      <alignment horizontal="center" vertical="center" readingOrder="2"/>
    </xf>
    <xf numFmtId="0" fontId="68" fillId="5" borderId="139" xfId="25" applyFont="1" applyFill="1" applyBorder="1" applyAlignment="1" applyProtection="1">
      <alignment horizontal="center" vertical="center" readingOrder="2"/>
    </xf>
    <xf numFmtId="0" fontId="4" fillId="0" borderId="137" xfId="14" applyBorder="1" applyAlignment="1" applyProtection="1">
      <alignment horizontal="center" vertical="center" readingOrder="2"/>
    </xf>
    <xf numFmtId="0" fontId="4" fillId="0" borderId="267" xfId="14" applyBorder="1" applyAlignment="1" applyProtection="1">
      <alignment horizontal="center" vertical="center" readingOrder="2"/>
    </xf>
    <xf numFmtId="0" fontId="4" fillId="0" borderId="268" xfId="14" applyBorder="1" applyAlignment="1" applyProtection="1">
      <alignment horizontal="center" vertical="center" readingOrder="2"/>
    </xf>
    <xf numFmtId="0" fontId="18" fillId="4" borderId="0" xfId="25" applyFont="1" applyFill="1" applyAlignment="1" applyProtection="1">
      <alignment horizontal="center" vertical="center" readingOrder="2"/>
    </xf>
    <xf numFmtId="169" fontId="68" fillId="5" borderId="263" xfId="25" applyNumberFormat="1" applyFont="1" applyFill="1" applyBorder="1" applyAlignment="1" applyProtection="1">
      <alignment horizontal="center" vertical="center" readingOrder="2"/>
    </xf>
    <xf numFmtId="0" fontId="68" fillId="5" borderId="264" xfId="14" applyFont="1" applyFill="1" applyBorder="1" applyAlignment="1" applyProtection="1">
      <alignment horizontal="center" vertical="center" readingOrder="2"/>
    </xf>
    <xf numFmtId="0" fontId="68" fillId="5" borderId="265" xfId="14" applyFont="1" applyFill="1" applyBorder="1" applyAlignment="1" applyProtection="1">
      <alignment horizontal="center" vertical="center" readingOrder="2"/>
    </xf>
    <xf numFmtId="0" fontId="68" fillId="5" borderId="266" xfId="14" applyFont="1" applyFill="1" applyBorder="1" applyAlignment="1" applyProtection="1">
      <alignment horizontal="center" vertical="center" readingOrder="2"/>
    </xf>
    <xf numFmtId="169" fontId="68" fillId="5" borderId="139" xfId="25" applyNumberFormat="1" applyFont="1" applyFill="1" applyBorder="1" applyAlignment="1" applyProtection="1">
      <alignment horizontal="center" vertical="center" readingOrder="2"/>
    </xf>
    <xf numFmtId="0" fontId="55" fillId="4" borderId="0" xfId="25" applyFont="1" applyFill="1" applyAlignment="1" applyProtection="1">
      <alignment horizontal="center" vertical="center" readingOrder="2"/>
    </xf>
    <xf numFmtId="0" fontId="32" fillId="0" borderId="0" xfId="14" applyFont="1" applyAlignment="1" applyProtection="1">
      <alignment horizontal="center" vertical="center" readingOrder="2"/>
    </xf>
    <xf numFmtId="0" fontId="68" fillId="5" borderId="137" xfId="25" applyFont="1" applyFill="1" applyBorder="1" applyAlignment="1" applyProtection="1">
      <alignment horizontal="center" vertical="center" readingOrder="2"/>
    </xf>
    <xf numFmtId="1" fontId="35" fillId="2" borderId="0" xfId="14" applyNumberFormat="1" applyFont="1" applyFill="1" applyBorder="1" applyAlignment="1" applyProtection="1">
      <alignment horizontal="right" vertical="center" readingOrder="2"/>
    </xf>
    <xf numFmtId="0" fontId="51" fillId="2" borderId="29" xfId="14" applyFont="1" applyFill="1" applyBorder="1" applyAlignment="1" applyProtection="1">
      <alignment horizontal="right" vertical="center" readingOrder="2"/>
    </xf>
    <xf numFmtId="0" fontId="38" fillId="3" borderId="0" xfId="14" applyFont="1" applyFill="1" applyAlignment="1" applyProtection="1">
      <alignment horizontal="center" vertical="center" readingOrder="2"/>
    </xf>
    <xf numFmtId="37" fontId="67" fillId="5" borderId="135" xfId="14" applyNumberFormat="1" applyFont="1" applyFill="1" applyBorder="1" applyAlignment="1" applyProtection="1">
      <alignment horizontal="center" vertical="center" readingOrder="2"/>
    </xf>
    <xf numFmtId="37" fontId="67" fillId="5" borderId="90" xfId="14" applyNumberFormat="1" applyFont="1" applyFill="1" applyBorder="1" applyAlignment="1" applyProtection="1">
      <alignment horizontal="center" vertical="center" readingOrder="2"/>
    </xf>
    <xf numFmtId="1" fontId="35" fillId="3" borderId="0" xfId="14" applyNumberFormat="1" applyFont="1" applyFill="1" applyBorder="1" applyAlignment="1" applyProtection="1">
      <alignment horizontal="right" vertical="center" readingOrder="2"/>
    </xf>
    <xf numFmtId="37" fontId="67" fillId="5" borderId="267" xfId="14" applyNumberFormat="1" applyFont="1" applyFill="1" applyBorder="1" applyAlignment="1" applyProtection="1">
      <alignment horizontal="center" vertical="center" readingOrder="2"/>
    </xf>
    <xf numFmtId="37" fontId="67" fillId="5" borderId="268" xfId="14" applyNumberFormat="1" applyFont="1" applyFill="1" applyBorder="1" applyAlignment="1" applyProtection="1">
      <alignment horizontal="center" vertical="center" readingOrder="2"/>
    </xf>
    <xf numFmtId="37" fontId="67" fillId="5" borderId="267" xfId="14" quotePrefix="1" applyNumberFormat="1" applyFont="1" applyFill="1" applyBorder="1" applyAlignment="1" applyProtection="1">
      <alignment horizontal="center" vertical="center" readingOrder="2"/>
    </xf>
    <xf numFmtId="37" fontId="67" fillId="5" borderId="262" xfId="14" quotePrefix="1" applyNumberFormat="1" applyFont="1" applyFill="1" applyBorder="1" applyAlignment="1" applyProtection="1">
      <alignment horizontal="center" vertical="center" readingOrder="2"/>
    </xf>
    <xf numFmtId="0" fontId="32" fillId="2" borderId="0" xfId="14" applyFont="1" applyFill="1" applyAlignment="1" applyProtection="1">
      <alignment horizontal="right" vertical="center" readingOrder="2"/>
    </xf>
    <xf numFmtId="0" fontId="32" fillId="2" borderId="67" xfId="14" applyFont="1" applyFill="1" applyBorder="1" applyAlignment="1" applyProtection="1">
      <alignment horizontal="right" vertical="center" readingOrder="2"/>
    </xf>
    <xf numFmtId="1" fontId="35" fillId="2" borderId="0" xfId="14" applyNumberFormat="1" applyFont="1" applyFill="1" applyBorder="1" applyAlignment="1" applyProtection="1">
      <alignment horizontal="center" vertical="center" readingOrder="2"/>
    </xf>
    <xf numFmtId="0" fontId="38" fillId="3" borderId="0" xfId="14" quotePrefix="1" applyFont="1" applyFill="1" applyAlignment="1" applyProtection="1">
      <alignment horizontal="center" vertical="center" readingOrder="2"/>
    </xf>
    <xf numFmtId="0" fontId="33" fillId="0" borderId="0" xfId="14" applyFont="1" applyAlignment="1">
      <alignment horizontal="center" vertical="center" readingOrder="2"/>
    </xf>
    <xf numFmtId="1" fontId="38" fillId="3" borderId="0" xfId="14" applyNumberFormat="1" applyFont="1" applyFill="1" applyBorder="1" applyAlignment="1" applyProtection="1">
      <alignment horizontal="center" vertical="center" readingOrder="2"/>
    </xf>
    <xf numFmtId="37" fontId="35" fillId="2" borderId="46" xfId="14" applyNumberFormat="1" applyFont="1" applyFill="1" applyBorder="1" applyAlignment="1" applyProtection="1">
      <alignment horizontal="center" vertical="center" readingOrder="2"/>
    </xf>
    <xf numFmtId="37" fontId="35" fillId="2" borderId="45" xfId="14" quotePrefix="1" applyNumberFormat="1" applyFont="1" applyFill="1" applyBorder="1" applyAlignment="1" applyProtection="1">
      <alignment horizontal="center" vertical="center" readingOrder="2"/>
    </xf>
    <xf numFmtId="37" fontId="35" fillId="2" borderId="47" xfId="14" quotePrefix="1" applyNumberFormat="1" applyFont="1" applyFill="1" applyBorder="1" applyAlignment="1" applyProtection="1">
      <alignment horizontal="center" vertical="center" readingOrder="2"/>
    </xf>
    <xf numFmtId="37" fontId="32" fillId="2" borderId="29" xfId="16" applyFont="1" applyFill="1" applyBorder="1" applyAlignment="1" applyProtection="1">
      <alignment horizontal="right" vertical="center" readingOrder="2"/>
    </xf>
    <xf numFmtId="37" fontId="32" fillId="2" borderId="0" xfId="16" applyFont="1" applyFill="1" applyBorder="1" applyAlignment="1" applyProtection="1">
      <alignment horizontal="right" vertical="center" readingOrder="2"/>
    </xf>
    <xf numFmtId="37" fontId="35" fillId="2" borderId="42" xfId="14" applyNumberFormat="1" applyFont="1" applyFill="1" applyBorder="1" applyAlignment="1" applyProtection="1">
      <alignment horizontal="center" vertical="center" readingOrder="2"/>
    </xf>
    <xf numFmtId="37" fontId="35" fillId="2" borderId="43" xfId="14" applyNumberFormat="1" applyFont="1" applyFill="1" applyBorder="1" applyAlignment="1" applyProtection="1">
      <alignment horizontal="center" vertical="center" readingOrder="2"/>
    </xf>
    <xf numFmtId="1" fontId="38" fillId="2" borderId="0" xfId="14" applyNumberFormat="1" applyFont="1" applyFill="1" applyBorder="1" applyAlignment="1" applyProtection="1">
      <alignment horizontal="center" vertical="center" readingOrder="2"/>
    </xf>
    <xf numFmtId="0" fontId="38" fillId="2" borderId="0" xfId="14" quotePrefix="1" applyFont="1" applyFill="1" applyAlignment="1" applyProtection="1">
      <alignment horizontal="center" vertical="center" readingOrder="2"/>
    </xf>
    <xf numFmtId="0" fontId="33" fillId="2" borderId="0" xfId="14" applyFont="1" applyFill="1" applyAlignment="1">
      <alignment horizontal="center" vertical="center" readingOrder="2"/>
    </xf>
    <xf numFmtId="37" fontId="34" fillId="6" borderId="0" xfId="14" applyNumberFormat="1" applyFont="1" applyFill="1" applyBorder="1" applyAlignment="1" applyProtection="1">
      <alignment horizontal="right" vertical="center" shrinkToFit="1" readingOrder="2"/>
    </xf>
    <xf numFmtId="0" fontId="34" fillId="6" borderId="0" xfId="14" applyFont="1" applyFill="1" applyBorder="1" applyAlignment="1" applyProtection="1">
      <alignment horizontal="right" vertical="center" wrapText="1" shrinkToFit="1" readingOrder="2"/>
    </xf>
    <xf numFmtId="0" fontId="0" fillId="0" borderId="0" xfId="0" applyBorder="1" applyAlignment="1">
      <alignment horizontal="right" vertical="center" wrapText="1" shrinkToFit="1" readingOrder="2"/>
    </xf>
    <xf numFmtId="165" fontId="91" fillId="2" borderId="0" xfId="14" applyNumberFormat="1" applyFont="1" applyFill="1" applyBorder="1" applyAlignment="1" applyProtection="1">
      <alignment horizontal="right" vertical="center" readingOrder="2"/>
    </xf>
    <xf numFmtId="0" fontId="90" fillId="2" borderId="0" xfId="14" applyFont="1" applyFill="1" applyBorder="1" applyAlignment="1" applyProtection="1">
      <alignment horizontal="right" vertical="center" wrapText="1" readingOrder="2"/>
    </xf>
    <xf numFmtId="165" fontId="32" fillId="3" borderId="0" xfId="14" applyNumberFormat="1" applyFont="1" applyFill="1" applyBorder="1" applyAlignment="1" applyProtection="1">
      <alignment horizontal="right" vertical="center" readingOrder="2"/>
    </xf>
    <xf numFmtId="173" fontId="55" fillId="4" borderId="0" xfId="18" applyFont="1" applyFill="1" applyAlignment="1" applyProtection="1">
      <alignment horizontal="center" vertical="center" readingOrder="2"/>
    </xf>
    <xf numFmtId="0" fontId="55" fillId="4" borderId="0" xfId="14" applyFont="1" applyFill="1" applyAlignment="1" applyProtection="1">
      <alignment horizontal="center" vertical="center" wrapText="1" readingOrder="2"/>
    </xf>
    <xf numFmtId="0" fontId="35" fillId="3" borderId="0" xfId="14" applyFont="1" applyFill="1" applyBorder="1" applyAlignment="1" applyProtection="1">
      <alignment horizontal="right" vertical="center" wrapText="1" readingOrder="2"/>
    </xf>
    <xf numFmtId="0" fontId="51" fillId="3" borderId="0" xfId="14" applyFont="1" applyFill="1" applyBorder="1" applyAlignment="1" applyProtection="1">
      <alignment horizontal="right" vertical="center" readingOrder="2"/>
    </xf>
    <xf numFmtId="0" fontId="51" fillId="3" borderId="0" xfId="14" applyFont="1" applyFill="1" applyBorder="1" applyAlignment="1" applyProtection="1">
      <alignment horizontal="right" vertical="center" wrapText="1" readingOrder="2"/>
    </xf>
    <xf numFmtId="0" fontId="35" fillId="3" borderId="0" xfId="14" applyFont="1" applyFill="1" applyBorder="1" applyAlignment="1" applyProtection="1">
      <alignment horizontal="right" vertical="center" readingOrder="2"/>
    </xf>
    <xf numFmtId="165" fontId="91" fillId="3" borderId="0" xfId="14" applyNumberFormat="1" applyFont="1" applyFill="1" applyBorder="1" applyAlignment="1" applyProtection="1">
      <alignment horizontal="right" vertical="center" readingOrder="2"/>
    </xf>
    <xf numFmtId="165" fontId="91" fillId="3" borderId="0" xfId="14" applyNumberFormat="1" applyFont="1" applyFill="1" applyBorder="1" applyAlignment="1" applyProtection="1">
      <alignment horizontal="right" vertical="center" shrinkToFit="1" readingOrder="2"/>
    </xf>
    <xf numFmtId="1" fontId="89" fillId="2" borderId="0" xfId="14" applyNumberFormat="1" applyFont="1" applyFill="1" applyBorder="1" applyAlignment="1" applyProtection="1">
      <alignment horizontal="right" vertical="center" readingOrder="2"/>
    </xf>
    <xf numFmtId="173" fontId="38" fillId="2" borderId="0" xfId="14" applyNumberFormat="1" applyFont="1" applyFill="1" applyAlignment="1" applyProtection="1">
      <alignment horizontal="center" vertical="center" wrapText="1" readingOrder="2"/>
    </xf>
    <xf numFmtId="0" fontId="38" fillId="2" borderId="0" xfId="14" applyFont="1" applyFill="1" applyAlignment="1" applyProtection="1">
      <alignment horizontal="center" vertical="center" wrapText="1" readingOrder="2"/>
    </xf>
    <xf numFmtId="0" fontId="90" fillId="2" borderId="0" xfId="14" applyFont="1" applyFill="1" applyBorder="1" applyAlignment="1" applyProtection="1">
      <alignment horizontal="right" vertical="center" readingOrder="2"/>
    </xf>
    <xf numFmtId="0" fontId="89" fillId="2" borderId="0" xfId="14" applyFont="1" applyFill="1" applyBorder="1" applyAlignment="1" applyProtection="1">
      <alignment horizontal="right" vertical="center" readingOrder="2"/>
    </xf>
    <xf numFmtId="0" fontId="89" fillId="2" borderId="0" xfId="14" applyFont="1" applyFill="1" applyBorder="1" applyAlignment="1" applyProtection="1">
      <alignment horizontal="right" vertical="center" wrapText="1" readingOrder="2"/>
    </xf>
    <xf numFmtId="165" fontId="91" fillId="2" borderId="0" xfId="14" applyNumberFormat="1" applyFont="1" applyFill="1" applyBorder="1" applyAlignment="1" applyProtection="1">
      <alignment horizontal="right" vertical="center" shrinkToFit="1" readingOrder="2"/>
    </xf>
    <xf numFmtId="0" fontId="34" fillId="2" borderId="0" xfId="14" applyFont="1" applyFill="1" applyAlignment="1" applyProtection="1">
      <alignment horizontal="right" vertical="center" readingOrder="2"/>
    </xf>
    <xf numFmtId="0" fontId="35" fillId="2" borderId="0" xfId="14" applyFont="1" applyFill="1" applyAlignment="1" applyProtection="1">
      <alignment horizontal="center" vertical="center" readingOrder="2"/>
    </xf>
    <xf numFmtId="0" fontId="35" fillId="2" borderId="0" xfId="14" applyFont="1" applyFill="1" applyAlignment="1" applyProtection="1">
      <alignment horizontal="center" vertical="center" wrapText="1" readingOrder="2"/>
    </xf>
    <xf numFmtId="168" fontId="37" fillId="5" borderId="0" xfId="23" applyNumberFormat="1" applyFont="1" applyFill="1" applyBorder="1" applyAlignment="1" applyProtection="1">
      <alignment horizontal="center" vertical="center" readingOrder="2"/>
    </xf>
    <xf numFmtId="168" fontId="37" fillId="5" borderId="9" xfId="23" applyNumberFormat="1" applyFont="1" applyFill="1" applyBorder="1" applyAlignment="1" applyProtection="1">
      <alignment horizontal="center" vertical="center" readingOrder="2"/>
    </xf>
    <xf numFmtId="168" fontId="37" fillId="5" borderId="9" xfId="23" applyNumberFormat="1" applyFont="1" applyFill="1" applyBorder="1" applyAlignment="1" applyProtection="1">
      <alignment horizontal="center" vertical="center" wrapText="1" readingOrder="2"/>
    </xf>
    <xf numFmtId="168" fontId="37" fillId="5" borderId="21" xfId="23" applyNumberFormat="1" applyFont="1" applyFill="1" applyBorder="1" applyAlignment="1" applyProtection="1">
      <alignment horizontal="center" vertical="center" wrapText="1" readingOrder="2"/>
    </xf>
    <xf numFmtId="168" fontId="37" fillId="5" borderId="0" xfId="23" applyNumberFormat="1" applyFont="1" applyFill="1" applyBorder="1" applyAlignment="1" applyProtection="1">
      <alignment horizontal="center" vertical="center" wrapText="1" readingOrder="2"/>
    </xf>
    <xf numFmtId="168" fontId="37" fillId="5" borderId="3" xfId="23" applyNumberFormat="1" applyFont="1" applyFill="1" applyBorder="1" applyAlignment="1" applyProtection="1">
      <alignment horizontal="center" vertical="center" wrapText="1" readingOrder="2"/>
    </xf>
    <xf numFmtId="0" fontId="38" fillId="2" borderId="0" xfId="23" applyFont="1" applyFill="1" applyAlignment="1" applyProtection="1">
      <alignment horizontal="center" vertical="center" readingOrder="2"/>
    </xf>
    <xf numFmtId="0" fontId="81" fillId="5" borderId="6" xfId="14" applyFont="1" applyFill="1" applyBorder="1" applyAlignment="1">
      <alignment horizontal="center" vertical="center" wrapText="1"/>
    </xf>
    <xf numFmtId="0" fontId="38" fillId="3" borderId="0" xfId="14" applyFont="1" applyFill="1" applyAlignment="1">
      <alignment horizontal="center" vertical="center"/>
    </xf>
    <xf numFmtId="0" fontId="33" fillId="0" borderId="0" xfId="14" applyFont="1" applyAlignment="1">
      <alignment horizontal="center" vertical="center"/>
    </xf>
    <xf numFmtId="0" fontId="81" fillId="5" borderId="6" xfId="14" applyFont="1" applyFill="1" applyBorder="1" applyAlignment="1">
      <alignment horizontal="center" vertical="center"/>
    </xf>
    <xf numFmtId="0" fontId="81" fillId="5" borderId="3" xfId="14" applyFont="1" applyFill="1" applyBorder="1" applyAlignment="1">
      <alignment horizontal="center" vertical="center"/>
    </xf>
    <xf numFmtId="0" fontId="89" fillId="6" borderId="6" xfId="14" applyFont="1" applyFill="1" applyBorder="1" applyAlignment="1">
      <alignment horizontal="center" vertical="center"/>
    </xf>
    <xf numFmtId="0" fontId="91" fillId="6" borderId="6" xfId="14" applyFont="1" applyFill="1" applyBorder="1" applyAlignment="1">
      <alignment horizontal="center" vertical="center"/>
    </xf>
    <xf numFmtId="0" fontId="91" fillId="6" borderId="269" xfId="14" applyFont="1" applyFill="1" applyBorder="1" applyAlignment="1">
      <alignment horizontal="center" vertical="center"/>
    </xf>
    <xf numFmtId="0" fontId="81" fillId="5" borderId="7" xfId="14" applyFont="1" applyFill="1" applyBorder="1" applyAlignment="1">
      <alignment horizontal="center" vertical="center"/>
    </xf>
    <xf numFmtId="0" fontId="38" fillId="3" borderId="3" xfId="14" applyFont="1" applyFill="1" applyBorder="1" applyAlignment="1">
      <alignment horizontal="center" vertical="top"/>
    </xf>
    <xf numFmtId="0" fontId="55" fillId="4" borderId="0" xfId="14" applyFont="1" applyFill="1" applyBorder="1" applyAlignment="1" applyProtection="1">
      <alignment horizontal="center" vertical="center" wrapText="1" readingOrder="2"/>
    </xf>
    <xf numFmtId="0" fontId="4" fillId="8" borderId="0" xfId="14" applyFill="1" applyBorder="1" applyAlignment="1" applyProtection="1">
      <alignment horizontal="right"/>
      <protection locked="0"/>
    </xf>
    <xf numFmtId="0" fontId="0" fillId="0" borderId="0" xfId="0" applyAlignment="1"/>
    <xf numFmtId="0" fontId="4" fillId="8" borderId="0" xfId="14" applyFill="1" applyBorder="1" applyAlignment="1" applyProtection="1">
      <protection locked="0"/>
    </xf>
    <xf numFmtId="165" fontId="4" fillId="8" borderId="10" xfId="14" applyNumberFormat="1" applyFill="1" applyBorder="1" applyAlignment="1" applyProtection="1">
      <alignment horizontal="right"/>
      <protection locked="0"/>
    </xf>
    <xf numFmtId="165" fontId="4" fillId="8" borderId="11" xfId="14" applyNumberFormat="1" applyFill="1" applyBorder="1" applyAlignment="1" applyProtection="1">
      <alignment horizontal="right"/>
      <protection locked="0"/>
    </xf>
    <xf numFmtId="165" fontId="4" fillId="8" borderId="23" xfId="14" applyNumberFormat="1" applyFill="1" applyBorder="1" applyAlignment="1" applyProtection="1">
      <alignment horizontal="right"/>
      <protection locked="0"/>
    </xf>
    <xf numFmtId="0" fontId="4" fillId="3" borderId="0" xfId="14" applyFill="1" applyAlignment="1">
      <alignment horizontal="right"/>
    </xf>
    <xf numFmtId="0" fontId="4" fillId="3" borderId="0" xfId="14" applyFill="1" applyAlignment="1"/>
    <xf numFmtId="0" fontId="1" fillId="8" borderId="0" xfId="14" applyFont="1" applyFill="1" applyAlignment="1" applyProtection="1">
      <alignment horizontal="right"/>
      <protection locked="0"/>
    </xf>
    <xf numFmtId="0" fontId="4" fillId="8" borderId="0" xfId="14" applyFill="1" applyAlignment="1" applyProtection="1">
      <alignment horizontal="right"/>
      <protection locked="0"/>
    </xf>
    <xf numFmtId="0" fontId="56" fillId="3" borderId="0" xfId="14" applyFont="1" applyFill="1" applyAlignment="1" applyProtection="1">
      <alignment horizontal="right" vertical="center" wrapText="1" indent="1" readingOrder="2"/>
    </xf>
    <xf numFmtId="0" fontId="4" fillId="3" borderId="0" xfId="14" applyFill="1" applyAlignment="1" applyProtection="1">
      <alignment horizontal="right" vertical="center" wrapText="1" indent="1" readingOrder="2"/>
    </xf>
    <xf numFmtId="0" fontId="118" fillId="3" borderId="0" xfId="14" applyFont="1" applyFill="1" applyBorder="1" applyAlignment="1" applyProtection="1">
      <alignment horizontal="right" vertical="center" wrapText="1" indent="1" readingOrder="2"/>
    </xf>
    <xf numFmtId="0" fontId="4" fillId="3" borderId="0" xfId="14" applyFill="1" applyBorder="1" applyAlignment="1" applyProtection="1">
      <alignment horizontal="right" vertical="center" indent="1" readingOrder="2"/>
    </xf>
    <xf numFmtId="0" fontId="40" fillId="0" borderId="0" xfId="14" applyFont="1" applyAlignment="1" applyProtection="1">
      <alignment horizontal="right" vertical="center" wrapText="1" readingOrder="2"/>
    </xf>
    <xf numFmtId="3" fontId="102" fillId="3" borderId="0" xfId="14" applyNumberFormat="1" applyFont="1" applyFill="1" applyAlignment="1" applyProtection="1">
      <alignment horizontal="right" vertical="center" readingOrder="2"/>
    </xf>
    <xf numFmtId="0" fontId="102" fillId="3" borderId="0" xfId="14" applyFont="1" applyFill="1" applyAlignment="1" applyProtection="1">
      <alignment horizontal="right" vertical="center" readingOrder="2"/>
    </xf>
    <xf numFmtId="0" fontId="55" fillId="4" borderId="0" xfId="14" applyFont="1" applyFill="1" applyBorder="1" applyAlignment="1" applyProtection="1">
      <alignment horizontal="right" vertical="center" readingOrder="2"/>
    </xf>
    <xf numFmtId="0" fontId="46" fillId="6" borderId="8" xfId="14" applyFont="1" applyFill="1" applyBorder="1" applyAlignment="1">
      <alignment horizontal="right" vertical="center" wrapText="1" readingOrder="2"/>
    </xf>
    <xf numFmtId="0" fontId="4" fillId="0" borderId="0" xfId="14" applyBorder="1" applyAlignment="1">
      <alignment horizontal="right" vertical="center" wrapText="1" readingOrder="2"/>
    </xf>
    <xf numFmtId="0" fontId="55" fillId="4" borderId="0" xfId="14" applyFont="1" applyFill="1" applyAlignment="1">
      <alignment horizontal="right" vertical="center"/>
    </xf>
    <xf numFmtId="0" fontId="18" fillId="4" borderId="0" xfId="14" applyFont="1" applyFill="1" applyBorder="1" applyAlignment="1" applyProtection="1">
      <alignment horizontal="center" vertical="center" readingOrder="2"/>
    </xf>
    <xf numFmtId="0" fontId="55" fillId="5" borderId="5" xfId="14" applyFont="1" applyFill="1" applyBorder="1" applyAlignment="1" applyProtection="1">
      <alignment horizontal="center" vertical="center"/>
    </xf>
    <xf numFmtId="0" fontId="33" fillId="0" borderId="6" xfId="14" applyFont="1" applyBorder="1" applyAlignment="1" applyProtection="1">
      <alignment horizontal="center" vertical="center"/>
    </xf>
    <xf numFmtId="0" fontId="33" fillId="0" borderId="7" xfId="14" applyFont="1" applyBorder="1" applyAlignment="1" applyProtection="1">
      <alignment horizontal="center" vertical="center"/>
    </xf>
    <xf numFmtId="0" fontId="4" fillId="6" borderId="0" xfId="14" applyFill="1" applyBorder="1" applyAlignment="1" applyProtection="1">
      <alignment horizontal="right"/>
    </xf>
    <xf numFmtId="0" fontId="32" fillId="6" borderId="8" xfId="14" applyFont="1" applyFill="1" applyBorder="1" applyAlignment="1" applyProtection="1">
      <alignment horizontal="right"/>
    </xf>
    <xf numFmtId="0" fontId="32" fillId="6" borderId="0" xfId="14" applyFont="1" applyFill="1" applyBorder="1" applyAlignment="1" applyProtection="1">
      <alignment horizontal="right"/>
    </xf>
    <xf numFmtId="0" fontId="4" fillId="6" borderId="5" xfId="14" applyFill="1" applyBorder="1" applyAlignment="1" applyProtection="1">
      <alignment horizontal="right" vertical="center"/>
      <protection locked="0"/>
    </xf>
    <xf numFmtId="0" fontId="4" fillId="6" borderId="6" xfId="14" applyFill="1" applyBorder="1" applyAlignment="1" applyProtection="1">
      <alignment horizontal="right" vertical="center"/>
      <protection locked="0"/>
    </xf>
    <xf numFmtId="0" fontId="4" fillId="6" borderId="7" xfId="14" applyFill="1" applyBorder="1" applyAlignment="1" applyProtection="1">
      <alignment horizontal="right" vertical="center"/>
      <protection locked="0"/>
    </xf>
    <xf numFmtId="0" fontId="32" fillId="6" borderId="8" xfId="14" applyFont="1" applyFill="1" applyBorder="1" applyAlignment="1" applyProtection="1"/>
    <xf numFmtId="0" fontId="32" fillId="0" borderId="0" xfId="14" applyFont="1" applyBorder="1" applyAlignment="1" applyProtection="1"/>
    <xf numFmtId="0" fontId="55" fillId="4" borderId="0" xfId="14" applyFont="1" applyFill="1" applyBorder="1" applyAlignment="1">
      <alignment horizontal="center" vertical="center"/>
    </xf>
    <xf numFmtId="0" fontId="32" fillId="3" borderId="0" xfId="14" applyFont="1" applyFill="1" applyAlignment="1" applyProtection="1">
      <alignment horizontal="right" vertical="center" readingOrder="2"/>
      <protection locked="0"/>
    </xf>
  </cellXfs>
  <cellStyles count="42">
    <cellStyle name="*" xfId="1"/>
    <cellStyle name="**" xfId="2"/>
    <cellStyle name="[1]" xfId="3"/>
    <cellStyle name="[2]" xfId="4"/>
    <cellStyle name="[3]" xfId="5"/>
    <cellStyle name="[4]" xfId="6"/>
    <cellStyle name="[5]" xfId="7"/>
    <cellStyle name="Comma" xfId="41" builtinId="3"/>
    <cellStyle name="Comma_Copy of financialReport" xfId="8"/>
    <cellStyle name="Currency [0] _laroux" xfId="9"/>
    <cellStyle name="Grey" xfId="10"/>
    <cellStyle name="Input [yellow]" xfId="12"/>
    <cellStyle name="Normal" xfId="0" builtinId="0"/>
    <cellStyle name="Normal - Style1" xfId="13"/>
    <cellStyle name="Normal_Copy of financialReport" xfId="14"/>
    <cellStyle name="Normal_DesignTest" xfId="15"/>
    <cellStyle name="Normal_GENERALB" xfId="16"/>
    <cellStyle name="Normal_באור 3 מאזן" xfId="17"/>
    <cellStyle name="Normal_גיליון עבודה1" xfId="18"/>
    <cellStyle name="Normal_טופס 1" xfId="19"/>
    <cellStyle name="Normal_טופס 2" xfId="20"/>
    <cellStyle name="Normal_טופס 3" xfId="21"/>
    <cellStyle name="Normal_טופס 4" xfId="22"/>
    <cellStyle name="Normal_נספח 1 לטופס 1" xfId="23"/>
    <cellStyle name="Normal_נספח 1 לטופס 2" xfId="24"/>
    <cellStyle name="Normal_נספח 1 לטופס 3" xfId="25"/>
    <cellStyle name="Normal_נספח 2 לטופס 1" xfId="26"/>
    <cellStyle name="Normal_נספח 2 לטופס 2" xfId="27"/>
    <cellStyle name="Normal_נספח 2+נספח 1+2 לנספח 1 " xfId="28"/>
    <cellStyle name="Normal_נספח 3 לטופס 1" xfId="29"/>
    <cellStyle name="Normal_נספח 3 לטופס 2" xfId="30"/>
    <cellStyle name="Normal_נספח 4 לטופס 2" xfId="31"/>
    <cellStyle name="Normal_נספח 5 לטופס 2" xfId="32"/>
    <cellStyle name="Percent" xfId="33" builtinId="5"/>
    <cellStyle name="Percent [2]" xfId="34"/>
    <cellStyle name="היפר-קישור" xfId="11" builtinId="8"/>
    <cellStyle name="כותרת באור" xfId="35"/>
    <cellStyle name="כותרת דף" xfId="36"/>
    <cellStyle name="כותרת משנה" xfId="37"/>
    <cellStyle name="סעיף" xfId="38"/>
    <cellStyle name="סעיףראשי" xfId="39"/>
    <cellStyle name="תאריך" xfId="40"/>
  </cellStyles>
  <dxfs count="71">
    <dxf>
      <fill>
        <patternFill patternType="darkDown"/>
      </fill>
    </dxf>
    <dxf>
      <fill>
        <patternFill patternType="darkDown"/>
      </fill>
    </dxf>
    <dxf>
      <fill>
        <patternFill patternType="darkDown"/>
      </fill>
    </dxf>
    <dxf>
      <font>
        <condense val="0"/>
        <extend val="0"/>
        <color auto="1"/>
      </font>
      <fill>
        <patternFill patternType="darkDown"/>
      </fill>
    </dxf>
    <dxf>
      <fill>
        <patternFill patternType="darkDown"/>
      </fill>
    </dxf>
    <dxf>
      <fill>
        <patternFill patternType="darkDown"/>
      </fill>
    </dxf>
    <dxf>
      <fill>
        <patternFill patternType="darkDown"/>
      </fill>
    </dxf>
    <dxf>
      <font>
        <condense val="0"/>
        <extend val="0"/>
        <color auto="1"/>
      </font>
      <fill>
        <patternFill patternType="darkDown"/>
      </fill>
    </dxf>
    <dxf>
      <font>
        <b/>
        <i val="0"/>
        <condense val="0"/>
        <extend val="0"/>
        <color indexed="10"/>
      </font>
      <fill>
        <patternFill>
          <bgColor indexed="39"/>
        </patternFill>
      </fill>
    </dxf>
    <dxf>
      <font>
        <b/>
        <i val="0"/>
        <condense val="0"/>
        <extend val="0"/>
        <color indexed="10"/>
      </font>
      <fill>
        <patternFill>
          <bgColor indexed="39"/>
        </patternFill>
      </fill>
    </dxf>
    <dxf>
      <border>
        <left/>
        <right/>
        <top/>
        <bottom/>
      </border>
    </dxf>
    <dxf>
      <border>
        <left/>
        <right/>
        <top/>
        <bottom/>
      </border>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ill>
        <patternFill>
          <bgColor indexed="39"/>
        </patternFill>
      </fill>
      <border>
        <top/>
        <bottom/>
      </border>
    </dxf>
    <dxf>
      <fill>
        <patternFill>
          <bgColor indexed="39"/>
        </patternFill>
      </fill>
    </dxf>
    <dxf>
      <fill>
        <patternFill>
          <bgColor indexed="39"/>
        </patternFill>
      </fill>
    </dxf>
    <dxf>
      <font>
        <condense val="0"/>
        <extend val="0"/>
        <color auto="1"/>
      </font>
      <fill>
        <patternFill>
          <bgColor indexed="39"/>
        </patternFill>
      </fill>
      <border>
        <left/>
        <right/>
        <top/>
        <bottom/>
      </border>
    </dxf>
    <dxf>
      <font>
        <condense val="0"/>
        <extend val="0"/>
        <color auto="1"/>
      </font>
      <fill>
        <patternFill>
          <bgColor indexed="39"/>
        </patternFill>
      </fill>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border>
    </dxf>
    <dxf>
      <border>
        <left/>
        <right/>
        <top/>
      </border>
    </dxf>
    <dxf>
      <font>
        <condense val="0"/>
        <extend val="0"/>
        <color auto="1"/>
      </font>
      <border>
        <left/>
        <right/>
        <top/>
        <bottom/>
      </border>
    </dxf>
    <dxf>
      <border>
        <left/>
        <right/>
        <top/>
        <bottom/>
      </border>
    </dxf>
    <dxf>
      <border>
        <left/>
        <right/>
        <top/>
        <bottom/>
      </border>
    </dxf>
    <dxf>
      <border>
        <left/>
        <right/>
        <top/>
        <bottom/>
      </border>
    </dxf>
    <dxf>
      <border>
        <left/>
        <right/>
        <top/>
        <bottom/>
      </border>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
      <font>
        <condense val="0"/>
        <extend val="0"/>
        <color auto="1"/>
      </font>
      <fill>
        <patternFill>
          <bgColor indexed="3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D9F1FF"/>
      <rgbColor rgb="00660066"/>
      <rgbColor rgb="00FF8080"/>
      <rgbColor rgb="000066CC"/>
      <rgbColor rgb="00CCCCFF"/>
      <rgbColor rgb="00000080"/>
      <rgbColor rgb="00FF00FF"/>
      <rgbColor rgb="00E1DC00"/>
      <rgbColor rgb="0000FFFF"/>
      <rgbColor rgb="00EBEBFF"/>
      <rgbColor rgb="00800000"/>
      <rgbColor rgb="00008080"/>
      <rgbColor rgb="00FFFFBB"/>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CCCCFF"/>
      <color rgb="FFFFFFBB"/>
      <color rgb="FFEBEBFF"/>
      <color rgb="FFFFCCFF"/>
      <color rgb="FFFFFF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4</xdr:col>
      <xdr:colOff>28575</xdr:colOff>
      <xdr:row>2</xdr:row>
      <xdr:rowOff>85725</xdr:rowOff>
    </xdr:to>
    <xdr:pic>
      <xdr:nvPicPr>
        <xdr:cNvPr id="51389"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828750" y="104775"/>
          <a:ext cx="2390775" cy="4667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5</xdr:col>
      <xdr:colOff>685800</xdr:colOff>
      <xdr:row>2</xdr:row>
      <xdr:rowOff>123825</xdr:rowOff>
    </xdr:to>
    <xdr:pic>
      <xdr:nvPicPr>
        <xdr:cNvPr id="8379"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419300" y="57150"/>
          <a:ext cx="2390775" cy="466725"/>
        </a:xfrm>
        <a:prstGeom prst="rect">
          <a:avLst/>
        </a:prstGeom>
        <a:noFill/>
        <a:ln w="9525">
          <a:noFill/>
          <a:miter lim="800000"/>
          <a:headEnd/>
          <a:tailEnd/>
        </a:ln>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5</xdr:col>
      <xdr:colOff>571500</xdr:colOff>
      <xdr:row>2</xdr:row>
      <xdr:rowOff>66675</xdr:rowOff>
    </xdr:to>
    <xdr:pic>
      <xdr:nvPicPr>
        <xdr:cNvPr id="9405"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866850" y="57150"/>
          <a:ext cx="2390775" cy="4667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2215403</xdr:colOff>
      <xdr:row>2</xdr:row>
      <xdr:rowOff>123825</xdr:rowOff>
    </xdr:to>
    <xdr:pic>
      <xdr:nvPicPr>
        <xdr:cNvPr id="10618"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543375" y="57150"/>
          <a:ext cx="2390775" cy="466725"/>
        </a:xfrm>
        <a:prstGeom prst="rect">
          <a:avLst/>
        </a:prstGeom>
        <a:noFill/>
        <a:ln w="9525">
          <a:noFill/>
          <a:miter lim="800000"/>
          <a:headEnd/>
          <a:tailEnd/>
        </a:ln>
      </xdr:spPr>
    </xdr:pic>
    <xdr:clientData/>
  </xdr:twoCellAnchor>
  <xdr:twoCellAnchor>
    <xdr:from>
      <xdr:col>0</xdr:col>
      <xdr:colOff>76200</xdr:colOff>
      <xdr:row>16</xdr:row>
      <xdr:rowOff>171450</xdr:rowOff>
    </xdr:from>
    <xdr:to>
      <xdr:col>1</xdr:col>
      <xdr:colOff>1581150</xdr:colOff>
      <xdr:row>16</xdr:row>
      <xdr:rowOff>171450</xdr:rowOff>
    </xdr:to>
    <xdr:sp macro="" textlink="">
      <xdr:nvSpPr>
        <xdr:cNvPr id="10619" name="Line 6"/>
        <xdr:cNvSpPr>
          <a:spLocks noChangeShapeType="1"/>
        </xdr:cNvSpPr>
      </xdr:nvSpPr>
      <xdr:spPr bwMode="auto">
        <a:xfrm flipH="1">
          <a:off x="157267275" y="3267075"/>
          <a:ext cx="1685925" cy="0"/>
        </a:xfrm>
        <a:prstGeom prst="lin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1</xdr:col>
      <xdr:colOff>1885950</xdr:colOff>
      <xdr:row>2</xdr:row>
      <xdr:rowOff>114300</xdr:rowOff>
    </xdr:to>
    <xdr:pic>
      <xdr:nvPicPr>
        <xdr:cNvPr id="1145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847925" y="47625"/>
          <a:ext cx="2390775" cy="4667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123825</xdr:colOff>
      <xdr:row>0</xdr:row>
      <xdr:rowOff>95250</xdr:rowOff>
    </xdr:from>
    <xdr:to>
      <xdr:col>3</xdr:col>
      <xdr:colOff>323850</xdr:colOff>
      <xdr:row>2</xdr:row>
      <xdr:rowOff>76200</xdr:rowOff>
    </xdr:to>
    <xdr:pic>
      <xdr:nvPicPr>
        <xdr:cNvPr id="13501"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133800" y="95250"/>
          <a:ext cx="2390775" cy="4667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4</xdr:col>
      <xdr:colOff>28575</xdr:colOff>
      <xdr:row>2</xdr:row>
      <xdr:rowOff>85725</xdr:rowOff>
    </xdr:to>
    <xdr:pic>
      <xdr:nvPicPr>
        <xdr:cNvPr id="12481"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828750" y="104775"/>
          <a:ext cx="2390775" cy="46672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1326356</xdr:colOff>
      <xdr:row>2</xdr:row>
      <xdr:rowOff>152400</xdr:rowOff>
    </xdr:to>
    <xdr:pic>
      <xdr:nvPicPr>
        <xdr:cNvPr id="16639"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7257750" y="28575"/>
          <a:ext cx="2390775" cy="4667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255</xdr:col>
      <xdr:colOff>590550</xdr:colOff>
      <xdr:row>1</xdr:row>
      <xdr:rowOff>9525</xdr:rowOff>
    </xdr:from>
    <xdr:to>
      <xdr:col>255</xdr:col>
      <xdr:colOff>590550</xdr:colOff>
      <xdr:row>2</xdr:row>
      <xdr:rowOff>57150</xdr:rowOff>
    </xdr:to>
    <xdr:sp macro="" textlink="">
      <xdr:nvSpPr>
        <xdr:cNvPr id="17801" name="Text Box 1"/>
        <xdr:cNvSpPr txBox="1">
          <a:spLocks noChangeArrowheads="1"/>
        </xdr:cNvSpPr>
      </xdr:nvSpPr>
      <xdr:spPr bwMode="auto">
        <a:xfrm>
          <a:off x="0" y="209550"/>
          <a:ext cx="0" cy="209550"/>
        </a:xfrm>
        <a:prstGeom prst="rect">
          <a:avLst/>
        </a:prstGeom>
        <a:noFill/>
        <a:ln w="9525">
          <a:noFill/>
          <a:miter lim="800000"/>
          <a:headEnd/>
          <a:tailEnd/>
        </a:ln>
      </xdr:spPr>
    </xdr:sp>
    <xdr:clientData/>
  </xdr:twoCellAnchor>
  <xdr:twoCellAnchor editAs="oneCell">
    <xdr:from>
      <xdr:col>0</xdr:col>
      <xdr:colOff>0</xdr:colOff>
      <xdr:row>0</xdr:row>
      <xdr:rowOff>28575</xdr:rowOff>
    </xdr:from>
    <xdr:to>
      <xdr:col>3</xdr:col>
      <xdr:colOff>895350</xdr:colOff>
      <xdr:row>2</xdr:row>
      <xdr:rowOff>133350</xdr:rowOff>
    </xdr:to>
    <xdr:pic>
      <xdr:nvPicPr>
        <xdr:cNvPr id="17802"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1599900" y="28575"/>
          <a:ext cx="2390775" cy="4667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228600</xdr:colOff>
      <xdr:row>0</xdr:row>
      <xdr:rowOff>104775</xdr:rowOff>
    </xdr:from>
    <xdr:to>
      <xdr:col>3</xdr:col>
      <xdr:colOff>914400</xdr:colOff>
      <xdr:row>2</xdr:row>
      <xdr:rowOff>171450</xdr:rowOff>
    </xdr:to>
    <xdr:pic>
      <xdr:nvPicPr>
        <xdr:cNvPr id="18634" name="Picture 4"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333825" y="104775"/>
          <a:ext cx="2390775" cy="46672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2</xdr:col>
      <xdr:colOff>1590675</xdr:colOff>
      <xdr:row>3</xdr:row>
      <xdr:rowOff>0</xdr:rowOff>
    </xdr:to>
    <xdr:pic>
      <xdr:nvPicPr>
        <xdr:cNvPr id="19671"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562300" y="66675"/>
          <a:ext cx="2390775"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4</xdr:col>
      <xdr:colOff>28575</xdr:colOff>
      <xdr:row>2</xdr:row>
      <xdr:rowOff>85725</xdr:rowOff>
    </xdr:to>
    <xdr:pic>
      <xdr:nvPicPr>
        <xdr:cNvPr id="52410"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828750" y="104775"/>
          <a:ext cx="2390775" cy="4667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2200275</xdr:colOff>
      <xdr:row>2</xdr:row>
      <xdr:rowOff>114300</xdr:rowOff>
    </xdr:to>
    <xdr:pic>
      <xdr:nvPicPr>
        <xdr:cNvPr id="47292"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657425" y="85725"/>
          <a:ext cx="2390775" cy="46672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1</xdr:col>
      <xdr:colOff>1981200</xdr:colOff>
      <xdr:row>2</xdr:row>
      <xdr:rowOff>76200</xdr:rowOff>
    </xdr:to>
    <xdr:pic>
      <xdr:nvPicPr>
        <xdr:cNvPr id="20686"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828750" y="66675"/>
          <a:ext cx="2390775" cy="4667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3</xdr:col>
      <xdr:colOff>209550</xdr:colOff>
      <xdr:row>2</xdr:row>
      <xdr:rowOff>104775</xdr:rowOff>
    </xdr:to>
    <xdr:pic>
      <xdr:nvPicPr>
        <xdr:cNvPr id="2173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2676225" y="66675"/>
          <a:ext cx="2343150" cy="45720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2</xdr:col>
      <xdr:colOff>1685925</xdr:colOff>
      <xdr:row>2</xdr:row>
      <xdr:rowOff>95250</xdr:rowOff>
    </xdr:to>
    <xdr:pic>
      <xdr:nvPicPr>
        <xdr:cNvPr id="22723"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1780875" y="104775"/>
          <a:ext cx="2390775" cy="4667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1</xdr:col>
      <xdr:colOff>1905000</xdr:colOff>
      <xdr:row>2</xdr:row>
      <xdr:rowOff>142875</xdr:rowOff>
    </xdr:to>
    <xdr:pic>
      <xdr:nvPicPr>
        <xdr:cNvPr id="23738"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400500" y="28575"/>
          <a:ext cx="2390775" cy="4762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2</xdr:col>
      <xdr:colOff>1676400</xdr:colOff>
      <xdr:row>2</xdr:row>
      <xdr:rowOff>190500</xdr:rowOff>
    </xdr:to>
    <xdr:pic>
      <xdr:nvPicPr>
        <xdr:cNvPr id="48331"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2495250" y="104775"/>
          <a:ext cx="2381250" cy="4762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2</xdr:col>
      <xdr:colOff>152400</xdr:colOff>
      <xdr:row>1</xdr:row>
      <xdr:rowOff>276225</xdr:rowOff>
    </xdr:to>
    <xdr:pic>
      <xdr:nvPicPr>
        <xdr:cNvPr id="24763"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285825" y="123825"/>
          <a:ext cx="2381250" cy="466725"/>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3</xdr:col>
      <xdr:colOff>190500</xdr:colOff>
      <xdr:row>1</xdr:row>
      <xdr:rowOff>161925</xdr:rowOff>
    </xdr:to>
    <xdr:pic>
      <xdr:nvPicPr>
        <xdr:cNvPr id="15547"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2428575" y="57150"/>
          <a:ext cx="2400300" cy="476250"/>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2200275</xdr:colOff>
      <xdr:row>2</xdr:row>
      <xdr:rowOff>114300</xdr:rowOff>
    </xdr:to>
    <xdr:pic>
      <xdr:nvPicPr>
        <xdr:cNvPr id="25789"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171650" y="85725"/>
          <a:ext cx="2390775" cy="466725"/>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10</xdr:row>
      <xdr:rowOff>114300</xdr:rowOff>
    </xdr:from>
    <xdr:to>
      <xdr:col>10</xdr:col>
      <xdr:colOff>0</xdr:colOff>
      <xdr:row>11</xdr:row>
      <xdr:rowOff>133350</xdr:rowOff>
    </xdr:to>
    <xdr:sp macro="" textlink="">
      <xdr:nvSpPr>
        <xdr:cNvPr id="26999" name="Rectangle 1"/>
        <xdr:cNvSpPr>
          <a:spLocks noChangeArrowheads="1"/>
        </xdr:cNvSpPr>
      </xdr:nvSpPr>
      <xdr:spPr bwMode="auto">
        <a:xfrm>
          <a:off x="149352000" y="1876425"/>
          <a:ext cx="0" cy="180975"/>
        </a:xfrm>
        <a:prstGeom prst="rect">
          <a:avLst/>
        </a:prstGeom>
        <a:solidFill>
          <a:srgbClr val="C0C0C0"/>
        </a:solidFill>
        <a:ln w="9525">
          <a:noFill/>
          <a:miter lim="800000"/>
          <a:headEnd/>
          <a:tailEnd/>
        </a:ln>
      </xdr:spPr>
    </xdr:sp>
    <xdr:clientData/>
  </xdr:twoCellAnchor>
  <xdr:twoCellAnchor editAs="oneCell">
    <xdr:from>
      <xdr:col>0</xdr:col>
      <xdr:colOff>104775</xdr:colOff>
      <xdr:row>0</xdr:row>
      <xdr:rowOff>38100</xdr:rowOff>
    </xdr:from>
    <xdr:to>
      <xdr:col>2</xdr:col>
      <xdr:colOff>565897</xdr:colOff>
      <xdr:row>1</xdr:row>
      <xdr:rowOff>190500</xdr:rowOff>
    </xdr:to>
    <xdr:pic>
      <xdr:nvPicPr>
        <xdr:cNvPr id="27000"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819225" y="38100"/>
          <a:ext cx="2390775" cy="466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2</xdr:col>
      <xdr:colOff>38100</xdr:colOff>
      <xdr:row>2</xdr:row>
      <xdr:rowOff>180975</xdr:rowOff>
    </xdr:to>
    <xdr:pic>
      <xdr:nvPicPr>
        <xdr:cNvPr id="1214" name="Picture 3"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438475" y="114300"/>
          <a:ext cx="2400300" cy="466725"/>
        </a:xfrm>
        <a:prstGeom prst="rect">
          <a:avLst/>
        </a:prstGeom>
        <a:noFill/>
        <a:ln w="9525">
          <a:noFill/>
          <a:miter lim="800000"/>
          <a:headEnd/>
          <a:tailEnd/>
        </a:ln>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4</xdr:col>
      <xdr:colOff>209550</xdr:colOff>
      <xdr:row>1</xdr:row>
      <xdr:rowOff>209550</xdr:rowOff>
    </xdr:to>
    <xdr:pic>
      <xdr:nvPicPr>
        <xdr:cNvPr id="30928"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581225" y="47625"/>
          <a:ext cx="2390775" cy="466725"/>
        </a:xfrm>
        <a:prstGeom prst="rect">
          <a:avLst/>
        </a:prstGeom>
        <a:noFill/>
        <a:ln w="9525">
          <a:noFill/>
          <a:miter lim="800000"/>
          <a:headEnd/>
          <a:tailEnd/>
        </a:ln>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4</xdr:col>
      <xdr:colOff>257175</xdr:colOff>
      <xdr:row>2</xdr:row>
      <xdr:rowOff>123825</xdr:rowOff>
    </xdr:to>
    <xdr:pic>
      <xdr:nvPicPr>
        <xdr:cNvPr id="31943"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200225" y="104775"/>
          <a:ext cx="2390775" cy="466725"/>
        </a:xfrm>
        <a:prstGeom prst="rect">
          <a:avLst/>
        </a:prstGeom>
        <a:noFill/>
        <a:ln w="9525">
          <a:noFill/>
          <a:miter lim="800000"/>
          <a:headEnd/>
          <a:tailEnd/>
        </a:ln>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4</xdr:col>
      <xdr:colOff>228600</xdr:colOff>
      <xdr:row>2</xdr:row>
      <xdr:rowOff>114300</xdr:rowOff>
    </xdr:to>
    <xdr:pic>
      <xdr:nvPicPr>
        <xdr:cNvPr id="32965"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228800" y="66675"/>
          <a:ext cx="2390775" cy="466725"/>
        </a:xfrm>
        <a:prstGeom prst="rect">
          <a:avLst/>
        </a:prstGeom>
        <a:noFill/>
        <a:ln w="9525">
          <a:noFill/>
          <a:miter lim="800000"/>
          <a:headEnd/>
          <a:tailEnd/>
        </a:ln>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4</xdr:col>
      <xdr:colOff>285750</xdr:colOff>
      <xdr:row>2</xdr:row>
      <xdr:rowOff>104775</xdr:rowOff>
    </xdr:to>
    <xdr:pic>
      <xdr:nvPicPr>
        <xdr:cNvPr id="27836"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571825" y="95250"/>
          <a:ext cx="2390775" cy="466725"/>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2</xdr:col>
      <xdr:colOff>600075</xdr:colOff>
      <xdr:row>2</xdr:row>
      <xdr:rowOff>66675</xdr:rowOff>
    </xdr:to>
    <xdr:pic>
      <xdr:nvPicPr>
        <xdr:cNvPr id="28873"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0847425" y="47625"/>
          <a:ext cx="2390775" cy="466725"/>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95250</xdr:colOff>
      <xdr:row>0</xdr:row>
      <xdr:rowOff>142875</xdr:rowOff>
    </xdr:from>
    <xdr:to>
      <xdr:col>1</xdr:col>
      <xdr:colOff>1876425</xdr:colOff>
      <xdr:row>2</xdr:row>
      <xdr:rowOff>142875</xdr:rowOff>
    </xdr:to>
    <xdr:pic>
      <xdr:nvPicPr>
        <xdr:cNvPr id="2988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610050" y="142875"/>
          <a:ext cx="2390775" cy="466725"/>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1851211</xdr:colOff>
      <xdr:row>2</xdr:row>
      <xdr:rowOff>171450</xdr:rowOff>
    </xdr:to>
    <xdr:pic>
      <xdr:nvPicPr>
        <xdr:cNvPr id="1452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49961600" y="57150"/>
          <a:ext cx="2400300" cy="476250"/>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1</xdr:col>
      <xdr:colOff>400050</xdr:colOff>
      <xdr:row>1</xdr:row>
      <xdr:rowOff>228600</xdr:rowOff>
    </xdr:to>
    <xdr:pic>
      <xdr:nvPicPr>
        <xdr:cNvPr id="40128"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7210125" y="104775"/>
          <a:ext cx="2390775" cy="466725"/>
        </a:xfrm>
        <a:prstGeom prst="rect">
          <a:avLst/>
        </a:prstGeom>
        <a:noFill/>
        <a:ln w="9525">
          <a:noFill/>
          <a:miter lim="800000"/>
          <a:headEnd/>
          <a:tailEnd/>
        </a:ln>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xdr:col>
      <xdr:colOff>1847850</xdr:colOff>
      <xdr:row>1</xdr:row>
      <xdr:rowOff>114300</xdr:rowOff>
    </xdr:to>
    <xdr:pic>
      <xdr:nvPicPr>
        <xdr:cNvPr id="33985"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181425" y="0"/>
          <a:ext cx="2390775" cy="457200"/>
        </a:xfrm>
        <a:prstGeom prst="rect">
          <a:avLst/>
        </a:prstGeom>
        <a:noFill/>
        <a:ln w="9525">
          <a:noFill/>
          <a:miter lim="800000"/>
          <a:headEnd/>
          <a:tailEnd/>
        </a:ln>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3</xdr:col>
      <xdr:colOff>38100</xdr:colOff>
      <xdr:row>0</xdr:row>
      <xdr:rowOff>504825</xdr:rowOff>
    </xdr:to>
    <xdr:pic>
      <xdr:nvPicPr>
        <xdr:cNvPr id="35025"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628850" y="47625"/>
          <a:ext cx="2390775" cy="457200"/>
        </a:xfrm>
        <a:prstGeom prst="rect">
          <a:avLst/>
        </a:prstGeom>
        <a:noFill/>
        <a:ln w="9525">
          <a:noFill/>
          <a:miter lim="800000"/>
          <a:headEnd/>
          <a:tailEnd/>
        </a:ln>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1819275</xdr:colOff>
      <xdr:row>2</xdr:row>
      <xdr:rowOff>123825</xdr:rowOff>
    </xdr:to>
    <xdr:pic>
      <xdr:nvPicPr>
        <xdr:cNvPr id="2241"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019250" y="85725"/>
          <a:ext cx="2400300" cy="457200"/>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0</xdr:col>
      <xdr:colOff>2419350</xdr:colOff>
      <xdr:row>0</xdr:row>
      <xdr:rowOff>533400</xdr:rowOff>
    </xdr:to>
    <xdr:pic>
      <xdr:nvPicPr>
        <xdr:cNvPr id="36030"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4257375" y="76200"/>
          <a:ext cx="2390775" cy="457200"/>
        </a:xfrm>
        <a:prstGeom prst="rect">
          <a:avLst/>
        </a:prstGeom>
        <a:noFill/>
        <a:ln w="9525">
          <a:noFill/>
          <a:miter lim="800000"/>
          <a:headEnd/>
          <a:tailEnd/>
        </a:ln>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1800225</xdr:colOff>
      <xdr:row>0</xdr:row>
      <xdr:rowOff>561975</xdr:rowOff>
    </xdr:to>
    <xdr:pic>
      <xdr:nvPicPr>
        <xdr:cNvPr id="37051"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676600" y="85725"/>
          <a:ext cx="2400300" cy="476250"/>
        </a:xfrm>
        <a:prstGeom prst="rect">
          <a:avLst/>
        </a:prstGeom>
        <a:noFill/>
        <a:ln w="9525">
          <a:noFill/>
          <a:miter lim="800000"/>
          <a:headEnd/>
          <a:tailEnd/>
        </a:ln>
      </xdr:spPr>
    </xdr:pic>
    <xdr:clientData fPrintsWithSheet="0"/>
  </xdr:twoCellAnchor>
</xdr:wsDr>
</file>

<file path=xl/drawings/drawing4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1828800</xdr:colOff>
      <xdr:row>0</xdr:row>
      <xdr:rowOff>514350</xdr:rowOff>
    </xdr:to>
    <xdr:pic>
      <xdr:nvPicPr>
        <xdr:cNvPr id="3807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610050" y="47625"/>
          <a:ext cx="2390775" cy="466725"/>
        </a:xfrm>
        <a:prstGeom prst="rect">
          <a:avLst/>
        </a:prstGeom>
        <a:noFill/>
        <a:ln w="9525">
          <a:noFill/>
          <a:miter lim="800000"/>
          <a:headEnd/>
          <a:tailEnd/>
        </a:ln>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1</xdr:col>
      <xdr:colOff>1838325</xdr:colOff>
      <xdr:row>1</xdr:row>
      <xdr:rowOff>247650</xdr:rowOff>
    </xdr:to>
    <xdr:pic>
      <xdr:nvPicPr>
        <xdr:cNvPr id="39100"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6076650" y="66675"/>
          <a:ext cx="2400300" cy="466725"/>
        </a:xfrm>
        <a:prstGeom prst="rect">
          <a:avLst/>
        </a:prstGeom>
        <a:noFill/>
        <a:ln w="9525">
          <a:noFill/>
          <a:miter lim="800000"/>
          <a:headEnd/>
          <a:tailEnd/>
        </a:ln>
      </xdr:spPr>
    </xdr:pic>
    <xdr:clientData fPrintsWithSheet="0"/>
  </xdr:twoCellAnchor>
</xdr:wsDr>
</file>

<file path=xl/drawings/drawing44.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2</xdr:col>
      <xdr:colOff>1304925</xdr:colOff>
      <xdr:row>2</xdr:row>
      <xdr:rowOff>66675</xdr:rowOff>
    </xdr:to>
    <xdr:pic>
      <xdr:nvPicPr>
        <xdr:cNvPr id="41146"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9000825" y="47625"/>
          <a:ext cx="2390775" cy="466725"/>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47625</xdr:colOff>
      <xdr:row>0</xdr:row>
      <xdr:rowOff>114300</xdr:rowOff>
    </xdr:from>
    <xdr:to>
      <xdr:col>4</xdr:col>
      <xdr:colOff>466725</xdr:colOff>
      <xdr:row>2</xdr:row>
      <xdr:rowOff>209550</xdr:rowOff>
    </xdr:to>
    <xdr:pic>
      <xdr:nvPicPr>
        <xdr:cNvPr id="42170"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067000" y="114300"/>
          <a:ext cx="2390775" cy="457200"/>
        </a:xfrm>
        <a:prstGeom prst="rect">
          <a:avLst/>
        </a:prstGeom>
        <a:noFill/>
        <a:ln w="9525">
          <a:noFill/>
          <a:miter lim="800000"/>
          <a:headEnd/>
          <a:tailEnd/>
        </a:ln>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5</xdr:col>
      <xdr:colOff>495300</xdr:colOff>
      <xdr:row>2</xdr:row>
      <xdr:rowOff>142875</xdr:rowOff>
    </xdr:to>
    <xdr:pic>
      <xdr:nvPicPr>
        <xdr:cNvPr id="735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038425" y="76200"/>
          <a:ext cx="2390775" cy="466725"/>
        </a:xfrm>
        <a:prstGeom prst="rect">
          <a:avLst/>
        </a:prstGeom>
        <a:noFill/>
        <a:ln w="9525">
          <a:noFill/>
          <a:miter lim="800000"/>
          <a:headEnd/>
          <a:tailEnd/>
        </a:ln>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4</xdr:col>
      <xdr:colOff>514350</xdr:colOff>
      <xdr:row>3</xdr:row>
      <xdr:rowOff>85725</xdr:rowOff>
    </xdr:to>
    <xdr:pic>
      <xdr:nvPicPr>
        <xdr:cNvPr id="3275"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0818850" y="123825"/>
          <a:ext cx="2400300" cy="4572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4</xdr:col>
      <xdr:colOff>1371600</xdr:colOff>
      <xdr:row>3</xdr:row>
      <xdr:rowOff>123825</xdr:rowOff>
    </xdr:to>
    <xdr:pic>
      <xdr:nvPicPr>
        <xdr:cNvPr id="4289" name="Picture 3"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3590625" y="133350"/>
          <a:ext cx="2400300" cy="4762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180975</xdr:rowOff>
    </xdr:from>
    <xdr:to>
      <xdr:col>1</xdr:col>
      <xdr:colOff>2390775</xdr:colOff>
      <xdr:row>4</xdr:row>
      <xdr:rowOff>28575</xdr:rowOff>
    </xdr:to>
    <xdr:pic>
      <xdr:nvPicPr>
        <xdr:cNvPr id="5308"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181300" y="38100"/>
          <a:ext cx="3152775" cy="6286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2076450</xdr:colOff>
      <xdr:row>1</xdr:row>
      <xdr:rowOff>180975</xdr:rowOff>
    </xdr:to>
    <xdr:pic>
      <xdr:nvPicPr>
        <xdr:cNvPr id="6347"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171775" y="66675"/>
          <a:ext cx="2400300" cy="4762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5</xdr:col>
      <xdr:colOff>495300</xdr:colOff>
      <xdr:row>2</xdr:row>
      <xdr:rowOff>142875</xdr:rowOff>
    </xdr:to>
    <xdr:pic>
      <xdr:nvPicPr>
        <xdr:cNvPr id="49339"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5038425" y="76200"/>
          <a:ext cx="2390775" cy="466725"/>
        </a:xfrm>
        <a:prstGeom prst="rect">
          <a:avLst/>
        </a:prstGeom>
        <a:noFill/>
        <a:ln w="9525">
          <a:noFill/>
          <a:miter lim="800000"/>
          <a:headEnd/>
          <a:tailEnd/>
        </a:ln>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qlsrv\&#1502;&#1513;&#1512;&#1491;%20&#1492;&#1508;&#1504;&#1497;&#1501;\&#1491;&#1493;&#1495;%20&#1499;&#1505;&#1508;&#1497;%207.0\030509\&#1489;&#1491;&#1497;&#1511;&#1514;%20&#1499;&#1508;&#1512;%20&#1505;&#1489;&#1488;\financialRepor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טופס 1 אקטיב"/>
      <sheetName val="טופס 1 פאסיב"/>
      <sheetName val="טופס 2"/>
      <sheetName val="טופס 3"/>
      <sheetName val="טופס 4"/>
      <sheetName val="נתונים והתאמות לטופס 4"/>
      <sheetName val="ביאורים 1, 2 א-ב (2)"/>
      <sheetName val="ביאורים 1, 2 א-ב"/>
      <sheetName val="ביאור 2 ג-ז"/>
      <sheetName val="ביאור 2 ח-יא"/>
      <sheetName val="ביאור 3"/>
      <sheetName val="ביאור 3 המשך"/>
      <sheetName val="ביאור 4"/>
      <sheetName val="ביאור 5"/>
      <sheetName val="ביאורים 6,7,8"/>
      <sheetName val="ביאורים נוספים"/>
      <sheetName val="נספח 1 לטופס 1"/>
      <sheetName val="נספחים 1,2 לנספח 1 לטופס 1"/>
      <sheetName val="נספח 2 לטופס 1"/>
      <sheetName val="נספח 2 לטופס 1 - פירוט א"/>
      <sheetName val="נספח 2 לטופס 1 - פירוט ב"/>
      <sheetName val="נספח 2 לטופס 1 - פירוט ג"/>
      <sheetName val="נספח 2 לטופס 1 - פירוט ד"/>
      <sheetName val="נספח 3 לטופס 1"/>
      <sheetName val="נספח 1 לטופס 2"/>
      <sheetName val="נספח 1 לטופס 2  המשך"/>
      <sheetName val="נספח 2 לטופס 2"/>
      <sheetName val="נספח 3 לטופס 2"/>
      <sheetName val="נספח 4 לטופס 2"/>
      <sheetName val="נספח 5 לטופס 2"/>
      <sheetName val="נספח 6 לטופס 2"/>
      <sheetName val="נספח 1 לטופס 3"/>
      <sheetName val="ספר לבן"/>
      <sheetName val="דוח לתושב"/>
      <sheetName val="נספח ה"/>
      <sheetName val="נספח ו"/>
      <sheetName val="נספח ז"/>
      <sheetName val="בדיקות הצלבה"/>
      <sheetName val="נתונים משותפים"/>
      <sheetName val="נתונים כלליים"/>
      <sheetName val="נתונים לטופס 1"/>
      <sheetName val="נתונים לטופס 3"/>
      <sheetName val="נתונים לנספח 2 לטופס 1"/>
      <sheetName val="נתונים לנספח 1 לטופס 2"/>
      <sheetName val="נתונים לנספח 4 לטופס 2"/>
      <sheetName val="הגדרות כלליות"/>
      <sheetName val="תוכן הענינים"/>
      <sheetName val="מקרא"/>
    </sheetNames>
    <sheetDataSet>
      <sheetData sheetId="0"/>
      <sheetData sheetId="1"/>
      <sheetData sheetId="2"/>
      <sheetData sheetId="3"/>
      <sheetData sheetId="4"/>
      <sheetData sheetId="5"/>
      <sheetData sheetId="6"/>
      <sheetData sheetId="7">
        <row r="8">
          <cell r="B8" t="str">
            <v>באור 1 - כללי</v>
          </cell>
        </row>
        <row r="9">
          <cell r="B9" t="str">
            <v>א.</v>
          </cell>
          <cell r="C9" t="str">
            <v>הרשויות המקומיות חייבות בניהול מערכת הנהלת חשבונות לפי תקנות הרשויות המקומיות</v>
          </cell>
        </row>
        <row r="10">
          <cell r="C10" t="str">
            <v>(הנהלת חשבונות) , התשמ"ח - 1988.</v>
          </cell>
        </row>
        <row r="12">
          <cell r="B12" t="str">
            <v>ב.</v>
          </cell>
          <cell r="C12" t="str">
            <v>רישום נתוני הנהלת החשבונות נערך ב"שיטת המזומנים המתוקנת" כמפורט בבאור 2 להלן.</v>
          </cell>
        </row>
        <row r="14">
          <cell r="B14" t="str">
            <v>ג.</v>
          </cell>
          <cell r="C14" t="str">
            <v>הדוחות הכספיים נערכו על פי הנחיות הממונה על ביקורת החשבונות במשרד הפנים, כפי</v>
          </cell>
        </row>
        <row r="15">
          <cell r="C15" t="str">
            <v>שנקבעו בהנחיות להנהלת חשבונות ודיווח כספי ברשויות מקומיות ,בתוקף היותו גוף אחראי</v>
          </cell>
        </row>
        <row r="16">
          <cell r="C16" t="str">
            <v>ומפקח בכל הנוגע לניהול חשבונותיה של רשות מקומית.</v>
          </cell>
        </row>
        <row r="17">
          <cell r="C17" t="str">
            <v>הדוחות הכספיים נערכו בהתאם להנחיות הנ"ל השונות מכללי חשבונאות מקובלים בנושאים</v>
          </cell>
        </row>
        <row r="18">
          <cell r="C18" t="str">
            <v>מהותיים.</v>
          </cell>
        </row>
        <row r="20">
          <cell r="B20" t="str">
            <v>ד.</v>
          </cell>
          <cell r="C20" t="str">
            <v>להלן נתונים על השינויים במדד המחירים לצרכן ובשער החליפין של השקל ביחס לדולר:</v>
          </cell>
        </row>
        <row r="22">
          <cell r="G22">
            <v>2003</v>
          </cell>
          <cell r="H22">
            <v>2002</v>
          </cell>
          <cell r="I22">
            <v>2001</v>
          </cell>
        </row>
        <row r="24">
          <cell r="C24" t="str">
            <v>שער החליפין של הדולר האמריקאי בש"ח</v>
          </cell>
          <cell r="G24">
            <v>4.3789999999999996</v>
          </cell>
          <cell r="H24">
            <v>4.74</v>
          </cell>
          <cell r="I24">
            <v>4.42</v>
          </cell>
        </row>
        <row r="25">
          <cell r="C25" t="str">
            <v>מדד המחירים לצרכן (ממוצע 1993) בנקודות</v>
          </cell>
          <cell r="G25">
            <v>178.58</v>
          </cell>
          <cell r="H25">
            <v>182.02</v>
          </cell>
          <cell r="I25">
            <v>170.91</v>
          </cell>
        </row>
        <row r="26">
          <cell r="C26" t="str">
            <v>שעור עלית (ירידת) הדולר במהלך השנה</v>
          </cell>
          <cell r="G26">
            <v>-7.5600000000000001E-2</v>
          </cell>
          <cell r="H26">
            <v>7.2700000000000001E-2</v>
          </cell>
          <cell r="I26">
            <v>9.2799999999999994E-2</v>
          </cell>
        </row>
        <row r="27">
          <cell r="C27" t="str">
            <v>שעור עלית  המדד במהלך השנה</v>
          </cell>
          <cell r="G27">
            <v>-1.8800000000000001E-2</v>
          </cell>
          <cell r="H27">
            <v>6.4899999999999999E-2</v>
          </cell>
          <cell r="I27">
            <v>1.41E-2</v>
          </cell>
        </row>
        <row r="29">
          <cell r="B29" t="str">
            <v>ה.</v>
          </cell>
          <cell r="C29" t="e">
            <v>#N/A</v>
          </cell>
        </row>
        <row r="31">
          <cell r="B31" t="str">
            <v xml:space="preserve">ו. </v>
          </cell>
          <cell r="C31" t="str">
            <v>שרותים המסופקים ע"י המועצה: [( מיועד למועצות אזוריות בלבד)]</v>
          </cell>
        </row>
        <row r="32">
          <cell r="C32" t="str">
            <v xml:space="preserve">המועצה מספקת את השרותים המפורטים להלן: </v>
          </cell>
        </row>
        <row r="33">
          <cell r="C33" t="str">
            <v xml:space="preserve">שרותי הוצאת אשפה; שרותי תאורת רחובות; ... יתר השרותים מסופקים לתוש/בים ישירות ע"י </v>
          </cell>
        </row>
        <row r="34">
          <cell r="C34" t="e">
            <v>#N/A</v>
          </cell>
        </row>
        <row r="36">
          <cell r="B36" t="str">
            <v>באור 2 - עיקרי המדיניות החשבונאית</v>
          </cell>
        </row>
        <row r="38">
          <cell r="C38" t="str">
            <v>הדוחות ערוכים על בסיס נומינלי היסטורי וללא התאמה לשינויים בכח הקניה הכללי של המטבע הישראלי.</v>
          </cell>
        </row>
        <row r="39">
          <cell r="C39" t="str">
            <v xml:space="preserve">עיקרי המדיניות החשבונאית אשר יושמו בעריכת הדוחות הכספיים באופן עקבי לשנה קודמת </v>
          </cell>
        </row>
        <row r="40">
          <cell r="C40" t="str">
            <v>מפורטים להלן:</v>
          </cell>
        </row>
        <row r="42">
          <cell r="B42" t="str">
            <v>א.</v>
          </cell>
          <cell r="C42" t="str">
            <v>רכוש קבוע</v>
          </cell>
        </row>
        <row r="44">
          <cell r="C44" t="str">
            <v xml:space="preserve">ההשקעות ברכוש קבוע מופחתות עם זקיפת ההוצאות לתקציב הרגיל או הבלתי רגיל,  </v>
          </cell>
        </row>
        <row r="45">
          <cell r="C45" t="str">
            <v>בהתאם למקור המימון, ואינן מוצגות כנכס במאזן ופחת בגינן אינו מקבל ביטוי על פני תקופות הדיווח.</v>
          </cell>
        </row>
        <row r="47">
          <cell r="B47" t="str">
            <v>ב.</v>
          </cell>
          <cell r="C47" t="str">
            <v>הלוואות שנתקבלו</v>
          </cell>
        </row>
        <row r="49">
          <cell r="B49" t="str">
            <v>(1)</v>
          </cell>
          <cell r="C49" t="str">
            <v>הלוואות נרשמות כהכנסות בתקציב הבלתי רגיל עם קבלתן בפועל.</v>
          </cell>
        </row>
        <row r="51">
          <cell r="B51" t="str">
            <v>(2)</v>
          </cell>
          <cell r="C51" t="str">
            <v>המאזן אינו כולל את יתרת ההלוואות לזמן ארוך שחבה העירייה (קרן, ריבית והפרשי הצמדה</v>
          </cell>
        </row>
        <row r="52">
          <cell r="C52" t="str">
            <v>שנצברו), שכן ההלוואות נרשמו כהכנסות בזמן קבלתן, עומס המלוות לתאריך הדוח הכספי</v>
          </cell>
        </row>
        <row r="53">
          <cell r="C53" t="str">
            <v>מוצג כנספח למאזן (נספח 3 לטופס 1).</v>
          </cell>
        </row>
        <row r="55">
          <cell r="B55" t="str">
            <v>(3)</v>
          </cell>
          <cell r="C55" t="str">
            <v>פרעון מלוות (כולל קרן , ריבית והפרשי הצמדה/שער) שזמן פרעונם הגיע , לפי לוחות סילוקין,</v>
          </cell>
        </row>
        <row r="56">
          <cell r="C56" t="str">
            <v>נזקף כהוצאה בתקציב הרגיל, גם אם לא שולמו בפועל.</v>
          </cell>
        </row>
        <row r="58">
          <cell r="B58" t="str">
            <v>(4)</v>
          </cell>
          <cell r="C58" t="str">
            <v>הוצאות ריבית והפרשי הצמדה שהצטברו ושזמן פרעונן, לפי לוחות סילוקין, הוא</v>
          </cell>
        </row>
        <row r="59">
          <cell r="C59" t="str">
            <v>לאחר תאריך הדוח הכספי, אינן נרשמות כהוצאה.</v>
          </cell>
        </row>
        <row r="61">
          <cell r="B61" t="str">
            <v>(5)</v>
          </cell>
          <cell r="C61" t="str">
            <v>מלוות לצורך שעה (לזמן קצר) ומשיכות יתר מבנקים מוצגות כסעיף מאזני.</v>
          </cell>
        </row>
        <row r="63">
          <cell r="B63" t="str">
            <v>(6)</v>
          </cell>
          <cell r="C63" t="str">
            <v>הלוואות לזמן קצר כוללות ריבית והפרשי הצמדה שנצברו עד לתאריך הדוח.</v>
          </cell>
        </row>
        <row r="65">
          <cell r="B65" t="str">
            <v>(7)</v>
          </cell>
          <cell r="C65" t="str">
            <v>פרעון מלוות בגין ביוב נכלל בסעיף הוצאות מפעל הביוב / פרעון מלוות.</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6.bin"/><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8.bin"/><Relationship Id="rId4" Type="http://schemas.openxmlformats.org/officeDocument/2006/relationships/comments" Target="../comments2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30.bin"/><Relationship Id="rId4" Type="http://schemas.openxmlformats.org/officeDocument/2006/relationships/comments" Target="../comments23.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31.bin"/><Relationship Id="rId4" Type="http://schemas.openxmlformats.org/officeDocument/2006/relationships/comments" Target="../comments24.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32.bin"/><Relationship Id="rId4" Type="http://schemas.openxmlformats.org/officeDocument/2006/relationships/comments" Target="../comments25.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33.bin"/><Relationship Id="rId4" Type="http://schemas.openxmlformats.org/officeDocument/2006/relationships/comments" Target="../comments26.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34.bin"/><Relationship Id="rId4" Type="http://schemas.openxmlformats.org/officeDocument/2006/relationships/comments" Target="../comments27.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2.xml"/><Relationship Id="rId1" Type="http://schemas.openxmlformats.org/officeDocument/2006/relationships/printerSettings" Target="../printerSettings/printerSettings35.bin"/><Relationship Id="rId4" Type="http://schemas.openxmlformats.org/officeDocument/2006/relationships/comments" Target="../comments28.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3.xml"/><Relationship Id="rId1" Type="http://schemas.openxmlformats.org/officeDocument/2006/relationships/printerSettings" Target="../printerSettings/printerSettings36.bin"/><Relationship Id="rId4" Type="http://schemas.openxmlformats.org/officeDocument/2006/relationships/comments" Target="../comments29.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4.xml"/><Relationship Id="rId1" Type="http://schemas.openxmlformats.org/officeDocument/2006/relationships/printerSettings" Target="../printerSettings/printerSettings38.bin"/><Relationship Id="rId4" Type="http://schemas.openxmlformats.org/officeDocument/2006/relationships/comments" Target="../comments31.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5.xml"/><Relationship Id="rId1" Type="http://schemas.openxmlformats.org/officeDocument/2006/relationships/printerSettings" Target="../printerSettings/printerSettings39.bin"/><Relationship Id="rId4" Type="http://schemas.openxmlformats.org/officeDocument/2006/relationships/comments" Target="../comments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6.xml"/><Relationship Id="rId1" Type="http://schemas.openxmlformats.org/officeDocument/2006/relationships/printerSettings" Target="../printerSettings/printerSettings40.bin"/><Relationship Id="rId4" Type="http://schemas.openxmlformats.org/officeDocument/2006/relationships/comments" Target="../comments33.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7.xml"/><Relationship Id="rId1" Type="http://schemas.openxmlformats.org/officeDocument/2006/relationships/printerSettings" Target="../printerSettings/printerSettings41.bin"/><Relationship Id="rId4" Type="http://schemas.openxmlformats.org/officeDocument/2006/relationships/comments" Target="../comments34.xml"/></Relationships>
</file>

<file path=xl/worksheets/_rels/sheet42.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9.xml"/><Relationship Id="rId1" Type="http://schemas.openxmlformats.org/officeDocument/2006/relationships/printerSettings" Target="../printerSettings/printerSettings44.bin"/><Relationship Id="rId4" Type="http://schemas.openxmlformats.org/officeDocument/2006/relationships/comments" Target="../comments36.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0.xml"/><Relationship Id="rId1" Type="http://schemas.openxmlformats.org/officeDocument/2006/relationships/printerSettings" Target="../printerSettings/printerSettings45.bin"/><Relationship Id="rId4" Type="http://schemas.openxmlformats.org/officeDocument/2006/relationships/comments" Target="../comments37.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1.xml"/><Relationship Id="rId1" Type="http://schemas.openxmlformats.org/officeDocument/2006/relationships/printerSettings" Target="../printerSettings/printerSettings46.bin"/><Relationship Id="rId4" Type="http://schemas.openxmlformats.org/officeDocument/2006/relationships/comments" Target="../comments38.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3.xml"/><Relationship Id="rId1" Type="http://schemas.openxmlformats.org/officeDocument/2006/relationships/printerSettings" Target="../printerSettings/printerSettings48.bin"/><Relationship Id="rId4" Type="http://schemas.openxmlformats.org/officeDocument/2006/relationships/comments" Target="../comments39.xml"/></Relationships>
</file>

<file path=xl/worksheets/_rels/sheet49.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9">
    <pageSetUpPr autoPageBreaks="0"/>
  </sheetPr>
  <dimension ref="A1:K47"/>
  <sheetViews>
    <sheetView showGridLines="0" showRowColHeaders="0" showZeros="0" rightToLeft="1" showOutlineSymbols="0" zoomScaleNormal="100" workbookViewId="0">
      <selection activeCell="A4" sqref="A4"/>
    </sheetView>
  </sheetViews>
  <sheetFormatPr defaultColWidth="9.109375" defaultRowHeight="13.2"/>
  <cols>
    <col min="1" max="8" width="9.109375" style="674"/>
    <col min="9" max="9" width="12.6640625" style="674" customWidth="1"/>
    <col min="10" max="16384" width="9.109375" style="674"/>
  </cols>
  <sheetData>
    <row r="1" spans="1:11" ht="22.5" customHeight="1">
      <c r="A1" s="685"/>
      <c r="B1" s="685"/>
      <c r="C1" s="685"/>
      <c r="D1" s="685"/>
      <c r="E1" s="3331" t="s">
        <v>1008</v>
      </c>
      <c r="F1" s="3332"/>
      <c r="G1" s="3332"/>
      <c r="H1" s="3332"/>
      <c r="I1" s="3332"/>
      <c r="J1" s="3332"/>
      <c r="K1" s="677"/>
    </row>
    <row r="2" spans="1:11" ht="15.6">
      <c r="A2" s="685"/>
      <c r="B2" s="685"/>
      <c r="C2" s="685"/>
      <c r="D2" s="685"/>
      <c r="E2" s="3333" t="str">
        <f>CONCATENATE("הדוח הכספי ליום 31 בדצמבר ", Shana)</f>
        <v>הדוח הכספי ליום 31 בדצמבר 2015</v>
      </c>
      <c r="F2" s="3334"/>
      <c r="G2" s="3334"/>
      <c r="H2" s="3334"/>
      <c r="I2" s="3334"/>
      <c r="J2" s="3335"/>
      <c r="K2" s="677"/>
    </row>
    <row r="3" spans="1:11" ht="14.25" customHeight="1">
      <c r="A3" s="672"/>
      <c r="B3" s="672"/>
      <c r="C3" s="672"/>
      <c r="D3" s="672"/>
      <c r="E3" s="3333" t="str">
        <f>CONCATENATE("ב",'הגדרות כלליות'!D6)</f>
        <v>בעירית הרצליה</v>
      </c>
      <c r="F3" s="3334"/>
      <c r="G3" s="3334"/>
      <c r="H3" s="3334"/>
      <c r="I3" s="3334"/>
      <c r="J3" s="3335"/>
      <c r="K3" s="677"/>
    </row>
    <row r="4" spans="1:11" ht="14.25" customHeight="1">
      <c r="A4" s="7" t="s">
        <v>339</v>
      </c>
      <c r="B4" s="801"/>
      <c r="C4" s="801"/>
      <c r="D4" s="801"/>
      <c r="E4" s="802"/>
      <c r="F4" s="803"/>
      <c r="G4" s="803"/>
      <c r="H4" s="803"/>
      <c r="I4" s="803"/>
      <c r="J4" s="803"/>
      <c r="K4" s="677"/>
    </row>
    <row r="5" spans="1:11" ht="14.25" customHeight="1">
      <c r="A5" s="803"/>
      <c r="B5" s="803"/>
      <c r="C5" s="803"/>
      <c r="D5" s="803"/>
      <c r="E5" s="802"/>
      <c r="F5" s="803"/>
      <c r="G5" s="803"/>
      <c r="H5" s="803"/>
      <c r="I5" s="803"/>
      <c r="J5" s="803"/>
      <c r="K5" s="677"/>
    </row>
    <row r="6" spans="1:11" ht="14.25" customHeight="1">
      <c r="A6" s="803"/>
      <c r="B6" s="803"/>
      <c r="C6" s="803"/>
      <c r="D6" s="803"/>
      <c r="E6" s="802"/>
      <c r="F6" s="803"/>
      <c r="G6" s="803"/>
      <c r="H6" s="803"/>
      <c r="I6" s="803"/>
      <c r="J6" s="803"/>
      <c r="K6" s="677"/>
    </row>
    <row r="7" spans="1:11" ht="14.25" customHeight="1">
      <c r="A7" s="803"/>
      <c r="B7" s="803"/>
      <c r="C7" s="803"/>
      <c r="D7" s="803"/>
      <c r="E7" s="802"/>
      <c r="F7" s="803"/>
      <c r="G7" s="803"/>
      <c r="H7" s="803"/>
      <c r="I7" s="803"/>
      <c r="J7" s="803"/>
      <c r="K7" s="677"/>
    </row>
    <row r="8" spans="1:11" ht="14.25" customHeight="1">
      <c r="A8" s="803"/>
      <c r="B8" s="803"/>
      <c r="C8" s="803"/>
      <c r="D8" s="803"/>
      <c r="E8" s="802"/>
      <c r="F8" s="803"/>
      <c r="G8" s="803"/>
      <c r="H8" s="803"/>
      <c r="I8" s="803"/>
      <c r="J8" s="803"/>
      <c r="K8" s="677"/>
    </row>
    <row r="9" spans="1:11" ht="14.25" customHeight="1">
      <c r="A9" s="803"/>
      <c r="B9" s="803"/>
      <c r="C9" s="803"/>
      <c r="D9" s="803"/>
      <c r="E9" s="802"/>
      <c r="F9" s="803"/>
      <c r="G9" s="803"/>
      <c r="H9" s="803"/>
      <c r="I9" s="803"/>
      <c r="J9" s="803"/>
      <c r="K9" s="677"/>
    </row>
    <row r="10" spans="1:11" ht="14.25" customHeight="1">
      <c r="A10" s="803"/>
      <c r="B10" s="803"/>
      <c r="C10" s="803"/>
      <c r="D10" s="803"/>
      <c r="E10" s="802"/>
      <c r="F10" s="803"/>
      <c r="G10" s="803"/>
      <c r="H10" s="803"/>
      <c r="I10" s="803"/>
      <c r="J10" s="803"/>
      <c r="K10" s="677"/>
    </row>
    <row r="11" spans="1:11" ht="14.25" customHeight="1">
      <c r="A11" s="803"/>
      <c r="B11" s="803"/>
      <c r="C11" s="803"/>
      <c r="D11" s="803"/>
      <c r="E11" s="802"/>
      <c r="F11" s="803"/>
      <c r="G11" s="803"/>
      <c r="H11" s="803"/>
      <c r="I11" s="803"/>
      <c r="J11" s="803"/>
      <c r="K11" s="677"/>
    </row>
    <row r="12" spans="1:11" ht="14.25" customHeight="1">
      <c r="A12" s="803"/>
      <c r="B12" s="803"/>
      <c r="C12" s="803"/>
      <c r="D12" s="803"/>
      <c r="E12" s="802"/>
      <c r="F12" s="803"/>
      <c r="G12" s="803"/>
      <c r="H12" s="803"/>
      <c r="I12" s="803"/>
      <c r="J12" s="803"/>
      <c r="K12" s="677"/>
    </row>
    <row r="13" spans="1:11" ht="6.75" customHeight="1">
      <c r="A13" s="803"/>
      <c r="B13" s="803"/>
      <c r="C13" s="803"/>
      <c r="D13" s="803"/>
      <c r="E13" s="802"/>
      <c r="F13" s="803"/>
      <c r="G13" s="803"/>
      <c r="H13" s="803"/>
      <c r="I13" s="803"/>
      <c r="J13" s="803"/>
      <c r="K13" s="677"/>
    </row>
    <row r="14" spans="1:11" ht="14.25" customHeight="1">
      <c r="A14" s="803"/>
      <c r="B14" s="803"/>
      <c r="C14" s="803"/>
      <c r="D14" s="803"/>
      <c r="E14" s="802"/>
      <c r="F14" s="803"/>
      <c r="G14" s="803"/>
      <c r="H14" s="803"/>
      <c r="I14" s="803"/>
      <c r="J14" s="803"/>
      <c r="K14" s="677"/>
    </row>
    <row r="15" spans="1:11" ht="7.5" customHeight="1">
      <c r="A15" s="803"/>
      <c r="B15" s="803"/>
      <c r="C15" s="803"/>
      <c r="D15" s="803"/>
      <c r="E15" s="802"/>
      <c r="F15" s="803"/>
      <c r="G15" s="803"/>
      <c r="H15" s="803"/>
      <c r="I15" s="803"/>
      <c r="J15" s="803"/>
      <c r="K15" s="677"/>
    </row>
    <row r="16" spans="1:11" ht="20.25" customHeight="1">
      <c r="A16" s="803"/>
      <c r="B16" s="803"/>
      <c r="C16" s="803"/>
      <c r="D16" s="803"/>
      <c r="E16" s="802"/>
      <c r="F16" s="803"/>
      <c r="G16" s="803"/>
      <c r="H16" s="803"/>
      <c r="I16" s="803"/>
      <c r="J16" s="803"/>
      <c r="K16" s="677"/>
    </row>
    <row r="17" spans="1:11" ht="39.75" customHeight="1">
      <c r="A17" s="3329" t="str">
        <f>E1</f>
        <v>דוח כספי שנתי מבוקר</v>
      </c>
      <c r="B17" s="3329"/>
      <c r="C17" s="3329"/>
      <c r="D17" s="3329"/>
      <c r="E17" s="3329"/>
      <c r="F17" s="3329"/>
      <c r="G17" s="3329"/>
      <c r="H17" s="3329"/>
      <c r="I17" s="3329"/>
      <c r="J17" s="804"/>
      <c r="K17" s="677"/>
    </row>
    <row r="18" spans="1:11" ht="35.25" customHeight="1">
      <c r="A18" s="3330" t="str">
        <f>E2</f>
        <v>הדוח הכספי ליום 31 בדצמבר 2015</v>
      </c>
      <c r="B18" s="3330"/>
      <c r="C18" s="3330"/>
      <c r="D18" s="3330"/>
      <c r="E18" s="3330"/>
      <c r="F18" s="3330"/>
      <c r="G18" s="3330"/>
      <c r="H18" s="3330"/>
      <c r="I18" s="3330"/>
      <c r="J18" s="804"/>
      <c r="K18" s="677"/>
    </row>
    <row r="19" spans="1:11" ht="30" customHeight="1">
      <c r="A19" s="3330" t="str">
        <f>E3</f>
        <v>בעירית הרצליה</v>
      </c>
      <c r="B19" s="3330"/>
      <c r="C19" s="3330"/>
      <c r="D19" s="3330"/>
      <c r="E19" s="3330"/>
      <c r="F19" s="3330"/>
      <c r="G19" s="3330"/>
      <c r="H19" s="3330"/>
      <c r="I19" s="3330"/>
      <c r="J19" s="804"/>
      <c r="K19" s="677"/>
    </row>
    <row r="20" spans="1:11">
      <c r="A20" s="807"/>
      <c r="B20" s="804"/>
      <c r="C20" s="804"/>
      <c r="D20" s="365"/>
      <c r="E20" s="804"/>
      <c r="F20" s="804"/>
      <c r="G20" s="806"/>
      <c r="H20" s="804"/>
      <c r="I20" s="804"/>
      <c r="J20" s="804"/>
      <c r="K20" s="677"/>
    </row>
    <row r="21" spans="1:11" ht="24.75" customHeight="1">
      <c r="A21" s="807"/>
      <c r="B21" s="646"/>
      <c r="C21" s="646"/>
      <c r="D21" s="656"/>
      <c r="E21" s="646"/>
      <c r="F21" s="646"/>
      <c r="G21" s="807"/>
      <c r="H21" s="646"/>
      <c r="I21" s="646"/>
      <c r="J21" s="646"/>
      <c r="K21" s="677"/>
    </row>
    <row r="22" spans="1:11">
      <c r="A22" s="646"/>
      <c r="B22" s="646"/>
      <c r="C22" s="646"/>
      <c r="D22" s="656"/>
      <c r="E22" s="646"/>
      <c r="F22" s="646"/>
      <c r="G22" s="807"/>
      <c r="H22" s="646"/>
      <c r="I22" s="646"/>
      <c r="J22" s="646"/>
      <c r="K22" s="677"/>
    </row>
    <row r="23" spans="1:11">
      <c r="A23" s="646"/>
      <c r="B23" s="646"/>
      <c r="C23" s="646"/>
      <c r="D23" s="656"/>
      <c r="E23" s="646"/>
      <c r="F23" s="646"/>
      <c r="G23" s="807"/>
      <c r="H23" s="646"/>
      <c r="I23" s="646"/>
      <c r="J23" s="646"/>
      <c r="K23" s="677"/>
    </row>
    <row r="24" spans="1:11">
      <c r="A24" s="646"/>
      <c r="B24" s="646"/>
      <c r="C24" s="646"/>
      <c r="D24" s="656"/>
      <c r="E24" s="646"/>
      <c r="F24" s="646"/>
      <c r="G24" s="807"/>
      <c r="H24" s="646"/>
      <c r="I24" s="646"/>
      <c r="J24" s="646"/>
      <c r="K24" s="677"/>
    </row>
    <row r="25" spans="1:11">
      <c r="A25" s="646"/>
      <c r="B25" s="646"/>
      <c r="C25" s="646"/>
      <c r="D25" s="656"/>
      <c r="E25" s="646"/>
      <c r="F25" s="646"/>
      <c r="G25" s="807"/>
      <c r="H25" s="646"/>
      <c r="I25" s="646"/>
      <c r="J25" s="646"/>
      <c r="K25" s="677"/>
    </row>
    <row r="26" spans="1:11">
      <c r="A26" s="646"/>
      <c r="B26" s="646"/>
      <c r="C26" s="646"/>
      <c r="D26" s="656"/>
      <c r="E26" s="646"/>
      <c r="F26" s="646"/>
      <c r="G26" s="807"/>
      <c r="H26" s="646"/>
      <c r="I26" s="646"/>
      <c r="J26" s="646"/>
      <c r="K26" s="677"/>
    </row>
    <row r="27" spans="1:11">
      <c r="A27" s="646"/>
      <c r="B27" s="646"/>
      <c r="C27" s="646"/>
      <c r="D27" s="656"/>
      <c r="E27" s="646"/>
      <c r="F27" s="646"/>
      <c r="G27" s="807"/>
      <c r="H27" s="646"/>
      <c r="I27" s="646"/>
      <c r="J27" s="646"/>
      <c r="K27" s="677"/>
    </row>
    <row r="28" spans="1:11">
      <c r="A28" s="646"/>
      <c r="B28" s="646"/>
      <c r="C28" s="646"/>
      <c r="D28" s="656"/>
      <c r="E28" s="646"/>
      <c r="F28" s="646"/>
      <c r="G28" s="807"/>
      <c r="H28" s="646"/>
      <c r="I28" s="646"/>
      <c r="J28" s="646"/>
      <c r="K28" s="677"/>
    </row>
    <row r="29" spans="1:11">
      <c r="A29" s="646"/>
      <c r="B29" s="656"/>
      <c r="C29" s="646"/>
      <c r="D29" s="646"/>
      <c r="E29" s="646"/>
      <c r="F29" s="646"/>
      <c r="G29" s="646"/>
      <c r="H29" s="646"/>
      <c r="I29" s="646"/>
      <c r="J29" s="646"/>
      <c r="K29" s="677"/>
    </row>
    <row r="30" spans="1:11">
      <c r="A30" s="646"/>
      <c r="B30" s="656"/>
      <c r="C30" s="646"/>
      <c r="D30" s="646"/>
      <c r="E30" s="646"/>
      <c r="F30" s="646"/>
      <c r="G30" s="646"/>
      <c r="H30" s="646"/>
      <c r="I30" s="646"/>
      <c r="J30" s="646"/>
      <c r="K30" s="677"/>
    </row>
    <row r="31" spans="1:11">
      <c r="A31" s="646"/>
      <c r="B31" s="656"/>
      <c r="C31" s="646"/>
      <c r="D31" s="646"/>
      <c r="E31" s="646"/>
      <c r="F31" s="646"/>
      <c r="G31" s="646"/>
      <c r="H31" s="646"/>
      <c r="I31" s="646"/>
      <c r="J31" s="646"/>
      <c r="K31" s="677"/>
    </row>
    <row r="32" spans="1:11">
      <c r="A32" s="646"/>
      <c r="B32" s="656"/>
      <c r="C32" s="646"/>
      <c r="D32" s="646"/>
      <c r="E32" s="646"/>
      <c r="F32" s="646"/>
      <c r="G32" s="646"/>
      <c r="H32" s="646"/>
      <c r="I32" s="646"/>
      <c r="J32" s="646"/>
      <c r="K32" s="677"/>
    </row>
    <row r="33" spans="1:11">
      <c r="A33" s="646"/>
      <c r="B33" s="656"/>
      <c r="C33" s="646"/>
      <c r="D33" s="646"/>
      <c r="E33" s="646"/>
      <c r="F33" s="646"/>
      <c r="G33" s="646"/>
      <c r="H33" s="646"/>
      <c r="I33" s="646"/>
      <c r="J33" s="646"/>
      <c r="K33" s="677"/>
    </row>
    <row r="34" spans="1:11">
      <c r="A34" s="646"/>
      <c r="B34" s="656"/>
      <c r="C34" s="646"/>
      <c r="D34" s="646"/>
      <c r="E34" s="646"/>
      <c r="F34" s="646"/>
      <c r="G34" s="646"/>
      <c r="H34" s="646"/>
      <c r="I34" s="646"/>
      <c r="J34" s="646"/>
      <c r="K34" s="677"/>
    </row>
    <row r="35" spans="1:11">
      <c r="A35" s="646"/>
      <c r="B35" s="656"/>
      <c r="C35" s="646"/>
      <c r="D35" s="646"/>
      <c r="E35" s="646"/>
      <c r="F35" s="646"/>
      <c r="G35" s="646"/>
      <c r="H35" s="646"/>
      <c r="I35" s="646"/>
      <c r="J35" s="646"/>
      <c r="K35" s="677"/>
    </row>
    <row r="36" spans="1:11" ht="13.8" thickBot="1">
      <c r="A36" s="646"/>
      <c r="B36" s="646"/>
      <c r="C36" s="646"/>
      <c r="D36" s="646"/>
      <c r="E36" s="646"/>
      <c r="F36" s="646"/>
      <c r="G36" s="646"/>
      <c r="H36" s="646"/>
      <c r="I36" s="646"/>
      <c r="J36" s="646"/>
      <c r="K36" s="677"/>
    </row>
    <row r="37" spans="1:11" ht="13.8" thickTop="1">
      <c r="A37" s="810"/>
      <c r="B37" s="810"/>
      <c r="C37" s="810"/>
      <c r="D37" s="810"/>
      <c r="E37" s="810"/>
      <c r="F37" s="810"/>
      <c r="G37" s="810"/>
      <c r="H37" s="810"/>
      <c r="I37" s="810"/>
      <c r="J37" s="810"/>
    </row>
    <row r="47" spans="1:11">
      <c r="E47" s="811"/>
      <c r="G47" s="812"/>
      <c r="I47" s="811"/>
    </row>
  </sheetData>
  <sheetProtection password="83C1" sheet="1" objects="1" scenarios="1"/>
  <mergeCells count="6">
    <mergeCell ref="A17:I17"/>
    <mergeCell ref="A18:I18"/>
    <mergeCell ref="A19:I19"/>
    <mergeCell ref="E1:J1"/>
    <mergeCell ref="E2:J2"/>
    <mergeCell ref="E3:J3"/>
  </mergeCells>
  <phoneticPr fontId="4" type="noConversion"/>
  <hyperlinks>
    <hyperlink ref="A4" location="'תוכן הענינים'!A1" tooltip="לחץ להצגת גליון תוכן הענינים" display="הצג תוכן ענינים"/>
  </hyperlinks>
  <printOptions horizontalCentered="1" verticalCentered="1"/>
  <pageMargins left="0.75" right="0.75" top="0.75" bottom="1" header="0.25" footer="0.5"/>
  <pageSetup paperSize="9" scale="90" orientation="portrait"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8">
    <pageSetUpPr autoPageBreaks="0"/>
  </sheetPr>
  <dimension ref="A1:L65"/>
  <sheetViews>
    <sheetView showRowColHeaders="0" rightToLeft="1" showOutlineSymbols="0" zoomScale="90" zoomScaleNormal="90" zoomScaleSheetLayoutView="75" workbookViewId="0">
      <selection activeCell="A4" sqref="A4"/>
    </sheetView>
  </sheetViews>
  <sheetFormatPr defaultColWidth="9.109375" defaultRowHeight="13.2"/>
  <cols>
    <col min="1" max="1" width="2.6640625" style="297" customWidth="1"/>
    <col min="2" max="3" width="3.44140625" style="297" customWidth="1"/>
    <col min="4" max="4" width="9.109375" style="297"/>
    <col min="5" max="5" width="10.44140625" style="297" customWidth="1"/>
    <col min="6" max="6" width="17.109375" style="297" customWidth="1"/>
    <col min="7" max="9" width="12.33203125" style="297" customWidth="1"/>
    <col min="10" max="10" width="9.6640625" style="297" customWidth="1"/>
    <col min="11" max="11" width="29" style="297" customWidth="1"/>
    <col min="12" max="16384" width="9.109375" style="297"/>
  </cols>
  <sheetData>
    <row r="1" spans="1:11" ht="15.6">
      <c r="A1" s="634"/>
      <c r="B1" s="635"/>
      <c r="C1" s="635"/>
      <c r="D1" s="635"/>
      <c r="E1" s="635"/>
      <c r="F1" s="3457" t="str">
        <f>'הגדרות כלליות'!D6</f>
        <v>עירית הרצליה</v>
      </c>
      <c r="G1" s="3458"/>
      <c r="H1" s="3458"/>
      <c r="I1" s="3458"/>
      <c r="J1" s="3458"/>
      <c r="K1" s="637"/>
    </row>
    <row r="2" spans="1:11" ht="15.75" customHeight="1">
      <c r="A2" s="635"/>
      <c r="B2" s="635"/>
      <c r="C2" s="635"/>
      <c r="D2" s="635"/>
      <c r="E2" s="635"/>
      <c r="F2" s="3457" t="s">
        <v>737</v>
      </c>
      <c r="G2" s="3332"/>
      <c r="H2" s="3332"/>
      <c r="I2" s="3332"/>
      <c r="J2" s="3332"/>
      <c r="K2" s="637"/>
    </row>
    <row r="3" spans="1:11" ht="15.75" customHeight="1">
      <c r="A3" s="635"/>
      <c r="B3" s="635"/>
      <c r="C3" s="635"/>
      <c r="D3" s="635"/>
      <c r="E3" s="635"/>
      <c r="F3" s="3457" t="str">
        <f>CONCATENATE("לשנה שנסתיימה ביום 31 בדצמבר ",'הגדרות כלליות'!D10, " (אלפי ש''ח) ")</f>
        <v xml:space="preserve">לשנה שנסתיימה ביום 31 בדצמבר 2015 (אלפי ש''ח) </v>
      </c>
      <c r="G3" s="3460"/>
      <c r="H3" s="3460"/>
      <c r="I3" s="3460"/>
      <c r="J3" s="3461"/>
      <c r="K3" s="637"/>
    </row>
    <row r="4" spans="1:11" ht="15.75" customHeight="1">
      <c r="A4" s="638" t="s">
        <v>339</v>
      </c>
      <c r="B4" s="639"/>
      <c r="C4" s="639"/>
      <c r="D4" s="639"/>
      <c r="E4" s="639"/>
      <c r="F4" s="639"/>
      <c r="G4" s="639"/>
      <c r="H4" s="640"/>
      <c r="I4" s="640"/>
      <c r="J4" s="641"/>
      <c r="K4" s="637"/>
    </row>
    <row r="5" spans="1:11" ht="15.75" customHeight="1">
      <c r="A5" s="3459" t="str">
        <f>F1</f>
        <v>עירית הרצליה</v>
      </c>
      <c r="B5" s="3459"/>
      <c r="C5" s="3459"/>
      <c r="D5" s="3459"/>
      <c r="E5" s="3459"/>
      <c r="F5" s="3459"/>
      <c r="G5" s="3459"/>
      <c r="H5" s="3459"/>
      <c r="I5" s="3459"/>
      <c r="J5" s="642"/>
      <c r="K5" s="637"/>
    </row>
    <row r="6" spans="1:11" ht="15.75" customHeight="1">
      <c r="A6" s="3459" t="str">
        <f>F2</f>
        <v>ביאורים לדוחות הכספיים</v>
      </c>
      <c r="B6" s="3459"/>
      <c r="C6" s="3459"/>
      <c r="D6" s="3459"/>
      <c r="E6" s="3459"/>
      <c r="F6" s="3459"/>
      <c r="G6" s="3459"/>
      <c r="H6" s="3459"/>
      <c r="I6" s="3459"/>
      <c r="J6" s="642"/>
      <c r="K6" s="637"/>
    </row>
    <row r="7" spans="1:11" ht="15.75" customHeight="1">
      <c r="A7" s="643"/>
      <c r="B7" s="3459" t="str">
        <f>F3</f>
        <v xml:space="preserve">לשנה שנסתיימה ביום 31 בדצמבר 2015 (אלפי ש''ח) </v>
      </c>
      <c r="C7" s="3459"/>
      <c r="D7" s="3459"/>
      <c r="E7" s="3459"/>
      <c r="F7" s="3459"/>
      <c r="G7" s="3459"/>
      <c r="H7" s="3459"/>
      <c r="I7" s="3459"/>
      <c r="J7" s="642"/>
      <c r="K7" s="637"/>
    </row>
    <row r="8" spans="1:11" ht="24" customHeight="1">
      <c r="A8" s="808" t="s">
        <v>2203</v>
      </c>
      <c r="B8" s="646"/>
      <c r="C8" s="646"/>
      <c r="D8" s="646"/>
      <c r="E8" s="646"/>
      <c r="F8" s="646"/>
      <c r="G8" s="646"/>
      <c r="H8" s="646"/>
      <c r="I8" s="646"/>
      <c r="J8" s="646"/>
      <c r="K8" s="637"/>
    </row>
    <row r="9" spans="1:11" ht="25.5" customHeight="1">
      <c r="A9" s="646"/>
      <c r="B9" s="646" t="s">
        <v>486</v>
      </c>
      <c r="C9" s="3464" t="s">
        <v>2185</v>
      </c>
      <c r="D9" s="3463"/>
      <c r="E9" s="3463"/>
      <c r="F9" s="3463"/>
      <c r="G9" s="3463"/>
      <c r="H9" s="3463"/>
      <c r="I9" s="3463"/>
      <c r="J9" s="646"/>
      <c r="K9" s="637"/>
    </row>
    <row r="10" spans="1:11">
      <c r="A10" s="646"/>
      <c r="B10" s="646"/>
      <c r="C10" s="3257"/>
      <c r="D10" s="646"/>
      <c r="E10" s="646"/>
      <c r="F10" s="646"/>
      <c r="G10" s="646"/>
      <c r="H10" s="646"/>
      <c r="I10" s="646"/>
      <c r="J10" s="646"/>
      <c r="K10" s="637"/>
    </row>
    <row r="11" spans="1:11">
      <c r="A11" s="646"/>
      <c r="B11" s="646" t="s">
        <v>493</v>
      </c>
      <c r="C11" s="646" t="s">
        <v>2204</v>
      </c>
      <c r="D11" s="646"/>
      <c r="E11" s="646"/>
      <c r="F11" s="646"/>
      <c r="G11" s="646"/>
      <c r="H11" s="646"/>
      <c r="I11" s="646"/>
      <c r="J11" s="646"/>
      <c r="K11" s="637"/>
    </row>
    <row r="12" spans="1:11" ht="9.9" customHeight="1">
      <c r="A12" s="646"/>
      <c r="B12" s="646"/>
      <c r="C12" s="646"/>
      <c r="D12" s="646"/>
      <c r="E12" s="646"/>
      <c r="F12" s="646"/>
      <c r="G12" s="646"/>
      <c r="H12" s="646"/>
      <c r="I12" s="646"/>
      <c r="J12" s="646"/>
      <c r="K12" s="637"/>
    </row>
    <row r="13" spans="1:11" ht="39.75" customHeight="1">
      <c r="A13" s="646"/>
      <c r="B13" s="646" t="s">
        <v>564</v>
      </c>
      <c r="C13" s="3464" t="s">
        <v>2187</v>
      </c>
      <c r="D13" s="3463"/>
      <c r="E13" s="3463"/>
      <c r="F13" s="3463"/>
      <c r="G13" s="3463"/>
      <c r="H13" s="3463"/>
      <c r="I13" s="3463"/>
      <c r="J13" s="646"/>
      <c r="K13" s="637"/>
    </row>
    <row r="14" spans="1:11">
      <c r="A14" s="646"/>
      <c r="B14" s="646"/>
      <c r="C14" s="3257"/>
      <c r="D14" s="646"/>
      <c r="E14" s="646"/>
      <c r="F14" s="646"/>
      <c r="G14" s="646"/>
      <c r="H14" s="646"/>
      <c r="I14" s="646"/>
      <c r="J14" s="646"/>
      <c r="K14" s="637"/>
    </row>
    <row r="15" spans="1:11">
      <c r="A15" s="646"/>
      <c r="B15" s="646"/>
      <c r="C15" s="3257" t="s">
        <v>2186</v>
      </c>
      <c r="D15" s="646"/>
      <c r="E15" s="646"/>
      <c r="F15" s="646"/>
      <c r="G15" s="646"/>
      <c r="H15" s="646"/>
      <c r="I15" s="646"/>
      <c r="J15" s="646"/>
      <c r="K15" s="637"/>
    </row>
    <row r="16" spans="1:11">
      <c r="A16" s="646"/>
      <c r="B16" s="646"/>
      <c r="C16" s="3257"/>
      <c r="D16" s="646"/>
      <c r="E16" s="646"/>
      <c r="F16" s="646"/>
      <c r="G16" s="646"/>
      <c r="H16" s="646"/>
      <c r="I16" s="646"/>
      <c r="J16" s="646"/>
      <c r="K16" s="637"/>
    </row>
    <row r="17" spans="1:12">
      <c r="A17" s="646"/>
      <c r="B17" s="646" t="s">
        <v>579</v>
      </c>
      <c r="C17" s="646" t="s">
        <v>1398</v>
      </c>
      <c r="D17" s="646"/>
      <c r="E17" s="646"/>
      <c r="F17" s="646"/>
      <c r="G17" s="646"/>
      <c r="H17" s="646"/>
      <c r="I17" s="646"/>
      <c r="J17" s="646"/>
      <c r="K17" s="637"/>
    </row>
    <row r="18" spans="1:12" ht="9.9" customHeight="1">
      <c r="A18" s="646"/>
      <c r="B18" s="646"/>
      <c r="C18" s="646"/>
      <c r="D18" s="646"/>
      <c r="E18" s="646"/>
      <c r="F18" s="646"/>
      <c r="G18" s="646"/>
      <c r="H18" s="646"/>
      <c r="I18" s="646"/>
      <c r="J18" s="646"/>
      <c r="K18" s="637"/>
    </row>
    <row r="19" spans="1:12">
      <c r="A19" s="646"/>
      <c r="B19" s="646" t="s">
        <v>585</v>
      </c>
      <c r="C19" s="646" t="s">
        <v>580</v>
      </c>
      <c r="D19" s="646"/>
      <c r="E19" s="646"/>
      <c r="F19" s="646"/>
      <c r="G19" s="646"/>
      <c r="H19" s="646"/>
      <c r="I19" s="646"/>
      <c r="J19" s="646"/>
      <c r="K19" s="637"/>
    </row>
    <row r="20" spans="1:12" ht="9.9" customHeight="1">
      <c r="A20" s="646"/>
      <c r="B20" s="646"/>
      <c r="C20" s="646"/>
      <c r="D20" s="646"/>
      <c r="E20" s="646"/>
      <c r="F20" s="646"/>
      <c r="G20" s="646"/>
      <c r="H20" s="646"/>
      <c r="I20" s="646"/>
      <c r="J20" s="646"/>
      <c r="K20" s="637"/>
      <c r="L20" s="3137"/>
    </row>
    <row r="21" spans="1:12">
      <c r="A21" s="646"/>
      <c r="B21" s="646"/>
      <c r="C21" s="646"/>
      <c r="D21" s="646"/>
      <c r="E21" s="646"/>
      <c r="F21" s="2932"/>
      <c r="G21" s="648">
        <f>'נתונים משותפים'!D29</f>
        <v>2015</v>
      </c>
      <c r="H21" s="649">
        <f>'נתונים משותפים'!E29</f>
        <v>2014</v>
      </c>
      <c r="I21" s="650">
        <f>'נתונים משותפים'!F29</f>
        <v>2013</v>
      </c>
      <c r="J21" s="646"/>
      <c r="K21" s="651"/>
      <c r="L21" s="3137">
        <f>+I21-1</f>
        <v>2012</v>
      </c>
    </row>
    <row r="22" spans="1:12" ht="9.9" customHeight="1">
      <c r="A22" s="646"/>
      <c r="B22" s="656"/>
      <c r="C22" s="656"/>
      <c r="D22" s="656"/>
      <c r="E22" s="656"/>
      <c r="F22" s="656"/>
      <c r="G22" s="2933"/>
      <c r="H22" s="656"/>
      <c r="I22" s="2934"/>
      <c r="J22" s="646"/>
      <c r="K22" s="637"/>
      <c r="L22" s="3137"/>
    </row>
    <row r="23" spans="1:12">
      <c r="A23" s="646"/>
      <c r="B23" s="656"/>
      <c r="C23" s="656" t="s">
        <v>581</v>
      </c>
      <c r="D23" s="656"/>
      <c r="E23" s="656"/>
      <c r="F23" s="656"/>
      <c r="G23" s="2867">
        <v>3.9049999999999998</v>
      </c>
      <c r="H23" s="2868">
        <v>3.8889999999999998</v>
      </c>
      <c r="I23" s="2869">
        <v>3.4710000000000001</v>
      </c>
      <c r="J23" s="656"/>
      <c r="K23" s="658"/>
      <c r="L23" s="3137">
        <v>3.8210000000000002</v>
      </c>
    </row>
    <row r="24" spans="1:12">
      <c r="A24" s="646"/>
      <c r="B24" s="656"/>
      <c r="C24" s="656" t="s">
        <v>582</v>
      </c>
      <c r="D24" s="656"/>
      <c r="E24" s="656"/>
      <c r="F24" s="656"/>
      <c r="G24" s="2867">
        <v>221.13</v>
      </c>
      <c r="H24" s="2868">
        <v>223.36</v>
      </c>
      <c r="I24" s="2869">
        <v>223.8</v>
      </c>
      <c r="J24" s="656"/>
      <c r="K24" s="660"/>
      <c r="L24" s="3137">
        <v>216.27</v>
      </c>
    </row>
    <row r="25" spans="1:12">
      <c r="A25" s="646"/>
      <c r="B25" s="656"/>
      <c r="C25" s="656" t="s">
        <v>1397</v>
      </c>
      <c r="D25" s="656"/>
      <c r="E25" s="656"/>
      <c r="F25" s="656"/>
      <c r="G25" s="661">
        <f>+G23/H23-1</f>
        <v>4.1141681666239105E-3</v>
      </c>
      <c r="H25" s="662">
        <f>+H23/I23-1</f>
        <v>0.12042639008931144</v>
      </c>
      <c r="I25" s="663">
        <f>+I23/L23-1</f>
        <v>-9.1599057838262277E-2</v>
      </c>
      <c r="J25" s="2935"/>
      <c r="K25" s="658"/>
      <c r="L25" s="3137"/>
    </row>
    <row r="26" spans="1:12">
      <c r="A26" s="646"/>
      <c r="B26" s="656"/>
      <c r="C26" s="656" t="s">
        <v>1399</v>
      </c>
      <c r="D26" s="656"/>
      <c r="E26" s="656"/>
      <c r="F26" s="656"/>
      <c r="G26" s="665">
        <f>+G24/H24-1</f>
        <v>-9.9838825214900728E-3</v>
      </c>
      <c r="H26" s="666">
        <f>+H24/I24-1</f>
        <v>-1.9660411081322549E-3</v>
      </c>
      <c r="I26" s="667">
        <f>+I24/L24-1</f>
        <v>3.4817589124705339E-2</v>
      </c>
      <c r="J26" s="2935"/>
      <c r="K26" s="660"/>
    </row>
    <row r="27" spans="1:12" ht="11.25" customHeight="1">
      <c r="A27" s="646"/>
      <c r="B27" s="646"/>
      <c r="C27" s="646"/>
      <c r="D27" s="646"/>
      <c r="E27" s="646"/>
      <c r="F27" s="646"/>
      <c r="G27" s="2935"/>
      <c r="H27" s="2935"/>
      <c r="I27" s="2935"/>
      <c r="J27" s="2751"/>
      <c r="K27" s="660"/>
    </row>
    <row r="28" spans="1:12" s="3221" customFormat="1" ht="22.5" customHeight="1">
      <c r="A28" s="3220"/>
      <c r="B28" s="3276" t="s">
        <v>671</v>
      </c>
      <c r="C28" s="645" t="str">
        <f>IF('הגדרות כלליות'!X1=1,"הרשות הינה רשות איתנה כמשמעותה בפקודת העיריות.","")</f>
        <v>הרשות הינה רשות איתנה כמשמעותה בפקודת העיריות.</v>
      </c>
      <c r="D28" s="3220"/>
      <c r="E28" s="3220"/>
      <c r="F28" s="3220"/>
      <c r="G28" s="2751"/>
      <c r="H28" s="2751"/>
      <c r="I28" s="2751"/>
      <c r="J28" s="2751"/>
      <c r="K28" s="660"/>
    </row>
    <row r="29" spans="1:12" s="3251" customFormat="1" ht="22.5" customHeight="1">
      <c r="A29" s="3250"/>
      <c r="B29" s="3250"/>
      <c r="C29" s="645" t="str">
        <f>IF('הגדרות כלליות'!W1=1,"הרשות סווגה על ידי משרד הפנים כרשות יציבה.","")</f>
        <v/>
      </c>
      <c r="D29" s="3276"/>
      <c r="E29" s="3250"/>
      <c r="F29" s="3250"/>
      <c r="G29" s="2751"/>
      <c r="H29" s="2751"/>
      <c r="I29" s="2751"/>
      <c r="J29" s="2751"/>
      <c r="K29" s="660"/>
    </row>
    <row r="30" spans="1:12" ht="22.5" customHeight="1">
      <c r="A30" s="646"/>
      <c r="B30" s="646"/>
      <c r="C30" s="3257"/>
      <c r="D30" s="646"/>
      <c r="E30" s="646"/>
      <c r="F30" s="646"/>
      <c r="G30" s="2751"/>
      <c r="H30" s="2751"/>
      <c r="I30" s="2751"/>
      <c r="J30" s="2751"/>
      <c r="K30" s="660"/>
    </row>
    <row r="31" spans="1:12" s="3175" customFormat="1" ht="22.5" customHeight="1">
      <c r="A31" s="3174"/>
      <c r="B31" s="3174"/>
      <c r="C31" s="3231"/>
      <c r="D31" s="3174"/>
      <c r="E31" s="3174"/>
      <c r="F31" s="3174"/>
      <c r="G31" s="2751"/>
      <c r="H31" s="2751"/>
      <c r="I31" s="2751"/>
      <c r="J31" s="2751"/>
      <c r="K31" s="660"/>
    </row>
    <row r="32" spans="1:12" s="3291" customFormat="1" ht="24.75" customHeight="1">
      <c r="A32" s="3292"/>
      <c r="B32" s="3292"/>
      <c r="C32" s="3464"/>
      <c r="D32" s="3463"/>
      <c r="E32" s="3463"/>
      <c r="F32" s="3463"/>
      <c r="G32" s="3463"/>
      <c r="H32" s="3463"/>
      <c r="I32" s="3463"/>
      <c r="J32" s="2751"/>
      <c r="K32" s="660"/>
    </row>
    <row r="33" spans="1:11" s="3251" customFormat="1" ht="22.5" customHeight="1">
      <c r="A33" s="3250"/>
      <c r="B33" s="3250"/>
      <c r="C33" s="3250"/>
      <c r="D33" s="3250"/>
      <c r="E33" s="3250"/>
      <c r="F33" s="3250"/>
      <c r="G33" s="2751"/>
      <c r="H33" s="2751"/>
      <c r="I33" s="2751"/>
      <c r="J33" s="2751"/>
      <c r="K33" s="660"/>
    </row>
    <row r="34" spans="1:11" s="3256" customFormat="1" ht="22.5" customHeight="1">
      <c r="A34" s="3255"/>
      <c r="B34" s="3255"/>
      <c r="C34" s="3257" t="s">
        <v>2549</v>
      </c>
      <c r="D34" s="3255"/>
      <c r="E34" s="3255"/>
      <c r="F34" s="3255"/>
      <c r="G34" s="2751"/>
      <c r="H34" s="2751"/>
      <c r="I34" s="2751"/>
      <c r="J34" s="2751"/>
      <c r="K34" s="660"/>
    </row>
    <row r="35" spans="1:11">
      <c r="A35" s="646"/>
      <c r="B35" s="646"/>
      <c r="C35" s="3276" t="s">
        <v>2658</v>
      </c>
      <c r="D35" s="646"/>
      <c r="E35" s="646"/>
      <c r="F35" s="646"/>
      <c r="G35" s="2751"/>
      <c r="H35" s="2751"/>
      <c r="I35" s="2751"/>
      <c r="J35" s="2751"/>
      <c r="K35" s="660"/>
    </row>
    <row r="36" spans="1:11">
      <c r="A36" s="646"/>
      <c r="B36" s="646"/>
      <c r="C36" s="3219"/>
      <c r="D36" s="646"/>
      <c r="E36" s="646"/>
      <c r="F36" s="646"/>
      <c r="G36" s="646"/>
      <c r="H36" s="646"/>
      <c r="I36" s="646"/>
      <c r="J36" s="646"/>
      <c r="K36" s="637"/>
    </row>
    <row r="37" spans="1:11">
      <c r="A37" s="646"/>
      <c r="B37" s="3276" t="str">
        <f>IF('הגדרות כלליות'!$AA$1="מועצה אזורית","ז.","")</f>
        <v/>
      </c>
      <c r="C37" s="3276" t="str">
        <f>IF('הגדרות כלליות'!$AA$1="מועצה אזורית","שרותים המסופקים על ידי המועצה:","")</f>
        <v/>
      </c>
      <c r="D37" s="3276"/>
      <c r="E37" s="646"/>
      <c r="F37" s="646"/>
      <c r="G37" s="646"/>
      <c r="H37" s="646"/>
      <c r="I37" s="646"/>
      <c r="J37" s="646"/>
      <c r="K37" s="637"/>
    </row>
    <row r="38" spans="1:11" ht="25.5" customHeight="1">
      <c r="A38" s="646"/>
      <c r="B38" s="646"/>
      <c r="C38" s="3464" t="str">
        <f>IF('הגדרות כלליות'!$AA$1="מועצה אזורית","שרותי הוצאת אשפה; שרותי תאורת רחובות; ... יתר השרותים מסופקים לתושבים ישירות על ידי הועדים המקומיים. ","")</f>
        <v/>
      </c>
      <c r="D38" s="3464" t="str">
        <f>IF('הגדרות כלליות'!$AA$1="מועצה אזורית","שרותי הוצאת אשפה; שרותי תאורת רחובות; ... יתר השרותים מסופקים לתושבים ישירות על ידי הועדים המקומיים. ","")</f>
        <v/>
      </c>
      <c r="E38" s="3464" t="str">
        <f>IF('הגדרות כלליות'!$AA$1="מועצה אזורית","שרותי הוצאת אשפה; שרותי תאורת רחובות; ... יתר השרותים מסופקים לתושבים ישירות על ידי הועדים המקומיים. ","")</f>
        <v/>
      </c>
      <c r="F38" s="3464" t="str">
        <f>IF('הגדרות כלליות'!$AA$1="מועצה אזורית","שרותי הוצאת אשפה; שרותי תאורת רחובות; ... יתר השרותים מסופקים לתושבים ישירות על ידי הועדים המקומיים. ","")</f>
        <v/>
      </c>
      <c r="G38" s="3464" t="str">
        <f>IF('הגדרות כלליות'!$AA$1="מועצה אזורית","שרותי הוצאת אשפה; שרותי תאורת רחובות; ... יתר השרותים מסופקים לתושבים ישירות על ידי הועדים המקומיים. ","")</f>
        <v/>
      </c>
      <c r="H38" s="3464" t="str">
        <f>IF('הגדרות כלליות'!$AA$1="מועצה אזורית","שרותי הוצאת אשפה; שרותי תאורת רחובות; ... יתר השרותים מסופקים לתושבים ישירות על ידי הועדים המקומיים. ","")</f>
        <v/>
      </c>
      <c r="I38" s="3464" t="str">
        <f>IF('הגדרות כלליות'!$AA$1="מועצה אזורית","שרותי הוצאת אשפה; שרותי תאורת רחובות; ... יתר השרותים מסופקים לתושבים ישירות על ידי הועדים המקומיים. ","")</f>
        <v/>
      </c>
      <c r="J38" s="646"/>
      <c r="K38" s="637"/>
    </row>
    <row r="39" spans="1:11">
      <c r="A39" s="646"/>
      <c r="B39" s="646"/>
      <c r="C39" s="3257"/>
      <c r="D39" s="646"/>
      <c r="E39" s="646"/>
      <c r="F39" s="646"/>
      <c r="G39" s="646"/>
      <c r="H39" s="646"/>
      <c r="I39" s="646"/>
      <c r="J39" s="646"/>
      <c r="K39" s="637"/>
    </row>
    <row r="40" spans="1:11">
      <c r="A40" s="808" t="s">
        <v>2205</v>
      </c>
      <c r="B40" s="646"/>
      <c r="C40" s="646"/>
      <c r="D40" s="646"/>
      <c r="E40" s="646"/>
      <c r="F40" s="646"/>
      <c r="G40" s="646"/>
      <c r="H40" s="646"/>
      <c r="I40" s="646"/>
      <c r="J40" s="646"/>
      <c r="K40" s="637"/>
    </row>
    <row r="41" spans="1:11" ht="9.9" customHeight="1">
      <c r="A41" s="646"/>
      <c r="B41" s="646"/>
      <c r="C41" s="646"/>
      <c r="D41" s="646"/>
      <c r="E41" s="646"/>
      <c r="F41" s="646"/>
      <c r="G41" s="646"/>
      <c r="H41" s="646"/>
      <c r="I41" s="646"/>
      <c r="J41" s="646"/>
      <c r="K41" s="637"/>
    </row>
    <row r="42" spans="1:11" ht="42.75" customHeight="1">
      <c r="A42" s="646"/>
      <c r="B42" s="646"/>
      <c r="C42" s="3464" t="s">
        <v>2184</v>
      </c>
      <c r="D42" s="3463"/>
      <c r="E42" s="3463"/>
      <c r="F42" s="3463"/>
      <c r="G42" s="3463"/>
      <c r="H42" s="3463"/>
      <c r="I42" s="3463"/>
      <c r="J42" s="646"/>
      <c r="K42" s="637"/>
    </row>
    <row r="43" spans="1:11">
      <c r="A43" s="646"/>
      <c r="B43" s="646"/>
      <c r="C43" s="3257"/>
      <c r="D43" s="646"/>
      <c r="E43" s="646"/>
      <c r="F43" s="646"/>
      <c r="G43" s="646"/>
      <c r="H43" s="646"/>
      <c r="I43" s="646"/>
      <c r="J43" s="646"/>
      <c r="K43" s="637"/>
    </row>
    <row r="44" spans="1:11">
      <c r="A44" s="646"/>
      <c r="B44" s="2596" t="s">
        <v>486</v>
      </c>
      <c r="C44" s="808" t="s">
        <v>625</v>
      </c>
      <c r="D44" s="646"/>
      <c r="E44" s="646"/>
      <c r="F44" s="646"/>
      <c r="G44" s="646"/>
      <c r="H44" s="646"/>
      <c r="I44" s="646"/>
      <c r="J44" s="646"/>
      <c r="K44" s="637"/>
    </row>
    <row r="45" spans="1:11" ht="9.9" customHeight="1">
      <c r="A45" s="646"/>
      <c r="B45" s="646"/>
      <c r="C45" s="646"/>
      <c r="D45" s="646"/>
      <c r="E45" s="646"/>
      <c r="F45" s="646"/>
      <c r="G45" s="646"/>
      <c r="H45" s="646"/>
      <c r="I45" s="646"/>
      <c r="J45" s="646"/>
      <c r="K45" s="637"/>
    </row>
    <row r="46" spans="1:11" ht="33" customHeight="1">
      <c r="A46" s="646"/>
      <c r="B46" s="646"/>
      <c r="C46" s="3464" t="s">
        <v>2188</v>
      </c>
      <c r="D46" s="3463"/>
      <c r="E46" s="3463"/>
      <c r="F46" s="3463"/>
      <c r="G46" s="3463"/>
      <c r="H46" s="3463"/>
      <c r="I46" s="3463"/>
      <c r="J46" s="646"/>
      <c r="K46" s="637"/>
    </row>
    <row r="47" spans="1:11" ht="9.9" customHeight="1">
      <c r="A47" s="646"/>
      <c r="B47" s="646"/>
      <c r="C47" s="646"/>
      <c r="D47" s="646"/>
      <c r="E47" s="646"/>
      <c r="F47" s="646"/>
      <c r="G47" s="646"/>
      <c r="H47" s="646"/>
      <c r="I47" s="646"/>
      <c r="J47" s="646"/>
      <c r="K47" s="637"/>
    </row>
    <row r="48" spans="1:11">
      <c r="A48" s="646"/>
      <c r="B48" s="2596" t="s">
        <v>493</v>
      </c>
      <c r="C48" s="808" t="s">
        <v>628</v>
      </c>
      <c r="D48" s="646"/>
      <c r="E48" s="646"/>
      <c r="F48" s="646"/>
      <c r="G48" s="646"/>
      <c r="H48" s="646"/>
      <c r="I48" s="646"/>
      <c r="J48" s="646"/>
      <c r="K48" s="637"/>
    </row>
    <row r="49" spans="1:11" ht="9.9" customHeight="1">
      <c r="A49" s="646"/>
      <c r="B49" s="646"/>
      <c r="C49" s="646"/>
      <c r="D49" s="646"/>
      <c r="E49" s="646"/>
      <c r="F49" s="646"/>
      <c r="G49" s="646"/>
      <c r="H49" s="646"/>
      <c r="I49" s="646"/>
      <c r="J49" s="646"/>
      <c r="K49" s="637"/>
    </row>
    <row r="50" spans="1:11">
      <c r="A50" s="646"/>
      <c r="B50" s="3271" t="s">
        <v>629</v>
      </c>
      <c r="C50" s="646" t="s">
        <v>630</v>
      </c>
      <c r="D50" s="646"/>
      <c r="E50" s="646"/>
      <c r="F50" s="646"/>
      <c r="G50" s="646"/>
      <c r="H50" s="646"/>
      <c r="I50" s="646"/>
      <c r="J50" s="646"/>
      <c r="K50" s="637"/>
    </row>
    <row r="51" spans="1:11" ht="9.9" customHeight="1">
      <c r="A51" s="646"/>
      <c r="B51" s="2597"/>
      <c r="C51" s="646"/>
      <c r="D51" s="646"/>
      <c r="E51" s="646"/>
      <c r="F51" s="646"/>
      <c r="G51" s="646"/>
      <c r="H51" s="646"/>
      <c r="I51" s="646"/>
      <c r="J51" s="646"/>
      <c r="K51" s="637"/>
    </row>
    <row r="52" spans="1:11" ht="38.25" customHeight="1">
      <c r="A52" s="646"/>
      <c r="B52" s="3271" t="s">
        <v>631</v>
      </c>
      <c r="C52" s="3462" t="str">
        <f>CONCATENATE("המאזן אינו כולל את יתרת ההלוואות לזמן ארוך שחבה ה",'הגדרות כלליות'!D8," (קרן, ריבית והפרשי הצמדה  ","שנצברו), שכן ההלוואות נרשמו כהכנסות בזמן קבלתן, עומס המלוות לתאריך הדוח הכספי מוצג כנספח למאזן (נספח 3 לטופס 1).")</f>
        <v>המאזן אינו כולל את יתרת ההלוואות לזמן ארוך שחבה העירייה (קרן, ריבית והפרשי הצמדה  שנצברו), שכן ההלוואות נרשמו כהכנסות בזמן קבלתן, עומס המלוות לתאריך הדוח הכספי מוצג כנספח למאזן (נספח 3 לטופס 1).</v>
      </c>
      <c r="D52" s="3463"/>
      <c r="E52" s="3463"/>
      <c r="F52" s="3463"/>
      <c r="G52" s="3463"/>
      <c r="H52" s="3463"/>
      <c r="I52" s="3463"/>
      <c r="J52" s="646"/>
      <c r="K52" s="637"/>
    </row>
    <row r="53" spans="1:11" ht="9.9" customHeight="1">
      <c r="A53" s="646"/>
      <c r="B53" s="2597"/>
      <c r="C53" s="646"/>
      <c r="D53" s="646"/>
      <c r="E53" s="646"/>
      <c r="F53" s="646"/>
      <c r="G53" s="646"/>
      <c r="H53" s="646"/>
      <c r="I53" s="646"/>
      <c r="J53" s="646"/>
      <c r="K53" s="637"/>
    </row>
    <row r="54" spans="1:11" ht="24.75" customHeight="1">
      <c r="A54" s="646"/>
      <c r="B54" s="3271" t="s">
        <v>635</v>
      </c>
      <c r="C54" s="3464" t="s">
        <v>2550</v>
      </c>
      <c r="D54" s="3463"/>
      <c r="E54" s="3463"/>
      <c r="F54" s="3463"/>
      <c r="G54" s="3463"/>
      <c r="H54" s="3463"/>
      <c r="I54" s="3463"/>
      <c r="J54" s="646"/>
      <c r="K54" s="637"/>
    </row>
    <row r="55" spans="1:11">
      <c r="A55" s="646"/>
      <c r="B55" s="2597"/>
      <c r="C55" s="3257"/>
      <c r="D55" s="646"/>
      <c r="E55" s="646"/>
      <c r="F55" s="646"/>
      <c r="G55" s="646"/>
      <c r="H55" s="646"/>
      <c r="I55" s="646"/>
      <c r="J55" s="646"/>
      <c r="K55" s="637"/>
    </row>
    <row r="56" spans="1:11" ht="26.25" customHeight="1">
      <c r="A56" s="646"/>
      <c r="B56" s="3271" t="s">
        <v>641</v>
      </c>
      <c r="C56" s="3464" t="s">
        <v>2189</v>
      </c>
      <c r="D56" s="3463"/>
      <c r="E56" s="3463"/>
      <c r="F56" s="3463"/>
      <c r="G56" s="3463"/>
      <c r="H56" s="3463"/>
      <c r="I56" s="3463"/>
      <c r="J56" s="646"/>
      <c r="K56" s="637"/>
    </row>
    <row r="57" spans="1:11">
      <c r="A57" s="646"/>
      <c r="B57" s="2597"/>
      <c r="C57" s="3257"/>
      <c r="D57" s="646"/>
      <c r="E57" s="646"/>
      <c r="F57" s="646"/>
      <c r="G57" s="646"/>
      <c r="H57" s="646"/>
      <c r="I57" s="646"/>
      <c r="J57" s="646"/>
      <c r="K57" s="637"/>
    </row>
    <row r="58" spans="1:11">
      <c r="A58" s="646"/>
      <c r="B58" s="3271" t="s">
        <v>645</v>
      </c>
      <c r="C58" s="646" t="s">
        <v>646</v>
      </c>
      <c r="D58" s="646"/>
      <c r="E58" s="646"/>
      <c r="F58" s="646"/>
      <c r="G58" s="646"/>
      <c r="H58" s="646"/>
      <c r="I58" s="646"/>
      <c r="J58" s="646"/>
      <c r="K58" s="637"/>
    </row>
    <row r="59" spans="1:11">
      <c r="A59" s="646"/>
      <c r="B59" s="2597"/>
      <c r="C59" s="646"/>
      <c r="D59" s="646"/>
      <c r="E59" s="646"/>
      <c r="F59" s="646"/>
      <c r="G59" s="646"/>
      <c r="H59" s="646"/>
      <c r="I59" s="646"/>
      <c r="J59" s="646"/>
      <c r="K59" s="637"/>
    </row>
    <row r="60" spans="1:11">
      <c r="A60" s="646"/>
      <c r="B60" s="3271" t="s">
        <v>647</v>
      </c>
      <c r="C60" s="646" t="s">
        <v>648</v>
      </c>
      <c r="D60" s="646"/>
      <c r="E60" s="646"/>
      <c r="F60" s="646"/>
      <c r="G60" s="646"/>
      <c r="H60" s="646"/>
      <c r="I60" s="646"/>
      <c r="J60" s="646"/>
      <c r="K60" s="637"/>
    </row>
    <row r="61" spans="1:11">
      <c r="A61" s="646"/>
      <c r="B61" s="2597"/>
      <c r="C61" s="646"/>
      <c r="D61" s="646"/>
      <c r="E61" s="646"/>
      <c r="F61" s="646"/>
      <c r="G61" s="646"/>
      <c r="H61" s="646"/>
      <c r="I61" s="646"/>
      <c r="J61" s="646"/>
      <c r="K61" s="637"/>
    </row>
    <row r="62" spans="1:11">
      <c r="A62" s="646"/>
      <c r="B62" s="3271" t="s">
        <v>649</v>
      </c>
      <c r="C62" s="3276" t="s">
        <v>2225</v>
      </c>
      <c r="D62" s="646"/>
      <c r="E62" s="646"/>
      <c r="F62" s="646"/>
      <c r="G62" s="646"/>
      <c r="H62" s="646"/>
      <c r="I62" s="646"/>
      <c r="J62" s="646"/>
      <c r="K62" s="637"/>
    </row>
    <row r="63" spans="1:11" ht="15" customHeight="1">
      <c r="A63" s="646"/>
      <c r="B63" s="646"/>
      <c r="C63" s="3276" t="s">
        <v>2226</v>
      </c>
      <c r="D63" s="646"/>
      <c r="E63" s="646"/>
      <c r="F63" s="646"/>
      <c r="G63" s="646"/>
      <c r="H63" s="646"/>
      <c r="I63" s="646"/>
      <c r="J63" s="646"/>
      <c r="K63" s="637"/>
    </row>
    <row r="64" spans="1:11" ht="13.8" thickBot="1">
      <c r="A64" s="646"/>
      <c r="B64" s="646"/>
      <c r="C64" s="646"/>
      <c r="D64" s="646"/>
      <c r="E64" s="646"/>
      <c r="F64" s="646"/>
      <c r="G64" s="646"/>
      <c r="H64" s="646"/>
      <c r="I64" s="646"/>
      <c r="J64" s="646"/>
      <c r="K64" s="637"/>
    </row>
    <row r="65" spans="1:10" ht="13.8" thickTop="1">
      <c r="A65" s="671"/>
      <c r="B65" s="671"/>
      <c r="C65" s="671"/>
      <c r="D65" s="671"/>
      <c r="E65" s="671"/>
      <c r="F65" s="671"/>
      <c r="G65" s="671"/>
      <c r="H65" s="671"/>
      <c r="I65" s="671"/>
      <c r="J65" s="671"/>
    </row>
  </sheetData>
  <sheetProtection password="83C1" sheet="1" objects="1" scenarios="1"/>
  <mergeCells count="15">
    <mergeCell ref="C52:I52"/>
    <mergeCell ref="C54:I54"/>
    <mergeCell ref="C56:I56"/>
    <mergeCell ref="F2:J2"/>
    <mergeCell ref="C42:I42"/>
    <mergeCell ref="C9:I9"/>
    <mergeCell ref="C13:I13"/>
    <mergeCell ref="C38:I38"/>
    <mergeCell ref="C46:I46"/>
    <mergeCell ref="C32:I32"/>
    <mergeCell ref="F1:J1"/>
    <mergeCell ref="B7:I7"/>
    <mergeCell ref="A5:I5"/>
    <mergeCell ref="A6:I6"/>
    <mergeCell ref="F3:J3"/>
  </mergeCells>
  <phoneticPr fontId="4" type="noConversion"/>
  <hyperlinks>
    <hyperlink ref="A4" location="'תוכן הענינים'!A1" tooltip="לחץ להצגת גליון תוכן הענינים" display="הצג תוכן ענינים"/>
  </hyperlinks>
  <printOptions horizontalCentered="1"/>
  <pageMargins left="0" right="0" top="0.75" bottom="0.98425196850393704" header="0.261811024" footer="0.511811023622047"/>
  <pageSetup paperSize="9" scale="90" orientation="portrait" blackAndWhite="1" horizontalDpi="300" verticalDpi="300" r:id="rId1"/>
  <headerFooter alignWithMargins="0">
    <oddHeader>&amp;L&amp;8&amp;A</oddHeader>
    <oddFooter>&amp;L &amp;C&amp;8 &amp;P</oddFooter>
  </headerFooter>
  <ignoredErrors>
    <ignoredError sqref="B37" unlocked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8">
    <pageSetUpPr autoPageBreaks="0"/>
  </sheetPr>
  <dimension ref="A1:J47"/>
  <sheetViews>
    <sheetView showGridLines="0" showRowColHeaders="0" showZeros="0" rightToLeft="1" showOutlineSymbols="0" zoomScale="90" zoomScaleNormal="90" zoomScaleSheetLayoutView="75" workbookViewId="0">
      <selection activeCell="A4" sqref="A4"/>
    </sheetView>
  </sheetViews>
  <sheetFormatPr defaultColWidth="9.109375" defaultRowHeight="13.2"/>
  <cols>
    <col min="1" max="1" width="2.6640625" style="674" customWidth="1"/>
    <col min="2" max="3" width="3.44140625" style="674" customWidth="1"/>
    <col min="4" max="5" width="9.109375" style="674"/>
    <col min="6" max="6" width="17.109375" style="674" customWidth="1"/>
    <col min="7" max="7" width="9.109375" style="674"/>
    <col min="8" max="8" width="28.6640625" style="674" customWidth="1"/>
    <col min="9" max="9" width="15.6640625" style="674" customWidth="1"/>
    <col min="10" max="16384" width="9.109375" style="674"/>
  </cols>
  <sheetData>
    <row r="1" spans="1:10" ht="15.6">
      <c r="A1" s="672"/>
      <c r="B1" s="673"/>
      <c r="C1" s="673"/>
      <c r="D1" s="673"/>
      <c r="E1" s="673"/>
      <c r="F1" s="673"/>
      <c r="G1" s="3333" t="str">
        <f>'הגדרות כלליות'!D6</f>
        <v>עירית הרצליה</v>
      </c>
      <c r="H1" s="3333"/>
      <c r="I1" s="3467"/>
    </row>
    <row r="2" spans="1:10" ht="15.6">
      <c r="A2" s="672"/>
      <c r="B2" s="673"/>
      <c r="C2" s="673"/>
      <c r="D2" s="673"/>
      <c r="E2" s="673"/>
      <c r="F2" s="673"/>
      <c r="G2" s="3333" t="s">
        <v>737</v>
      </c>
      <c r="H2" s="3468"/>
      <c r="I2" s="3469"/>
    </row>
    <row r="3" spans="1:10" ht="15.6">
      <c r="A3" s="672"/>
      <c r="B3" s="673"/>
      <c r="C3" s="673"/>
      <c r="D3" s="673"/>
      <c r="E3" s="673"/>
      <c r="F3" s="673"/>
      <c r="G3" s="3333" t="str">
        <f>CONCATENATE("לשנה שנסתיימה ביום 31 בדצמבר ",'הגדרות כלליות'!D10, " (אלפי ש''ח) ")</f>
        <v xml:space="preserve">לשנה שנסתיימה ביום 31 בדצמבר 2015 (אלפי ש''ח) </v>
      </c>
      <c r="H3" s="3333"/>
      <c r="I3" s="3467"/>
    </row>
    <row r="4" spans="1:10" ht="15.6">
      <c r="A4" s="364" t="s">
        <v>339</v>
      </c>
      <c r="B4" s="639"/>
      <c r="C4" s="639"/>
      <c r="D4" s="639"/>
      <c r="E4" s="639"/>
      <c r="F4" s="639"/>
      <c r="G4" s="639"/>
      <c r="H4" s="675"/>
      <c r="I4" s="676"/>
    </row>
    <row r="5" spans="1:10" ht="15.6">
      <c r="A5" s="3471" t="str">
        <f>G1</f>
        <v>עירית הרצליה</v>
      </c>
      <c r="B5" s="3471"/>
      <c r="C5" s="3471"/>
      <c r="D5" s="3471"/>
      <c r="E5" s="3471"/>
      <c r="F5" s="3471"/>
      <c r="G5" s="3471"/>
      <c r="H5" s="3471"/>
      <c r="I5" s="3471"/>
      <c r="J5" s="677"/>
    </row>
    <row r="6" spans="1:10" ht="15.6">
      <c r="A6" s="3471" t="str">
        <f>G2</f>
        <v>ביאורים לדוחות הכספיים</v>
      </c>
      <c r="B6" s="3471"/>
      <c r="C6" s="3471"/>
      <c r="D6" s="3471"/>
      <c r="E6" s="3471"/>
      <c r="F6" s="3471"/>
      <c r="G6" s="3471"/>
      <c r="H6" s="3471"/>
      <c r="I6" s="3471"/>
      <c r="J6" s="677"/>
    </row>
    <row r="7" spans="1:10" ht="15.6">
      <c r="A7" s="3471" t="str">
        <f>G3</f>
        <v xml:space="preserve">לשנה שנסתיימה ביום 31 בדצמבר 2015 (אלפי ש''ח) </v>
      </c>
      <c r="B7" s="3471"/>
      <c r="C7" s="3471"/>
      <c r="D7" s="3471"/>
      <c r="E7" s="3471"/>
      <c r="F7" s="3471"/>
      <c r="G7" s="3471"/>
      <c r="H7" s="3471"/>
      <c r="I7" s="3471"/>
      <c r="J7" s="677"/>
    </row>
    <row r="8" spans="1:10" ht="15.6">
      <c r="A8" s="678"/>
      <c r="B8" s="2752"/>
      <c r="C8" s="2752"/>
      <c r="D8" s="2752"/>
      <c r="E8" s="2752"/>
      <c r="F8" s="2752"/>
      <c r="G8" s="2752"/>
      <c r="H8" s="2752"/>
      <c r="I8" s="2752"/>
      <c r="J8" s="677"/>
    </row>
    <row r="9" spans="1:10" ht="19.5" customHeight="1">
      <c r="A9" s="365"/>
      <c r="B9" s="2753" t="s">
        <v>564</v>
      </c>
      <c r="C9" s="2754" t="s">
        <v>651</v>
      </c>
      <c r="D9" s="656"/>
      <c r="E9" s="656"/>
      <c r="F9" s="656"/>
      <c r="G9" s="656"/>
      <c r="H9" s="656"/>
      <c r="I9" s="656"/>
      <c r="J9" s="677"/>
    </row>
    <row r="10" spans="1:10">
      <c r="A10" s="365"/>
      <c r="B10" s="656"/>
      <c r="C10" s="680"/>
      <c r="D10" s="656"/>
      <c r="E10" s="656"/>
      <c r="F10" s="656"/>
      <c r="G10" s="656"/>
      <c r="H10" s="656"/>
      <c r="I10" s="656"/>
      <c r="J10" s="677"/>
    </row>
    <row r="11" spans="1:10" ht="37.5" customHeight="1">
      <c r="A11" s="365"/>
      <c r="B11" s="3268" t="s">
        <v>629</v>
      </c>
      <c r="C11" s="3466" t="str">
        <f>CONCATENATE("זכויות מוניטריות מייצגות השקעות שונות של ה",SugGufMevukar,", לרבות בגופים המבצעים פעילויות לקידום השרותים","או האינטרסים של ה",SugGufMevukar," (כולל השקעות בתאגידים עירוניים), זכויות מים, הלוואות לעובדים וכדו'.")</f>
        <v>זכויות מוניטריות מייצגות השקעות שונות של העירייה, לרבות בגופים המבצעים פעילויות לקידום השרותיםאו האינטרסים של העירייה (כולל השקעות בתאגידים עירוניים), זכויות מים, הלוואות לעובדים וכדו'.</v>
      </c>
      <c r="D11" s="3463"/>
      <c r="E11" s="3463"/>
      <c r="F11" s="3463"/>
      <c r="G11" s="3463"/>
      <c r="H11" s="3463"/>
      <c r="I11" s="656"/>
      <c r="J11" s="677"/>
    </row>
    <row r="12" spans="1:10">
      <c r="A12" s="365"/>
      <c r="B12" s="656"/>
      <c r="C12" s="656"/>
      <c r="D12" s="656"/>
      <c r="E12" s="656"/>
      <c r="F12" s="656"/>
      <c r="G12" s="656"/>
      <c r="H12" s="656"/>
      <c r="I12" s="656"/>
      <c r="J12" s="677"/>
    </row>
    <row r="13" spans="1:10">
      <c r="A13" s="365"/>
      <c r="B13" s="3268" t="s">
        <v>631</v>
      </c>
      <c r="C13" s="3262" t="s">
        <v>2190</v>
      </c>
      <c r="D13" s="656"/>
      <c r="E13" s="656"/>
      <c r="F13" s="656"/>
      <c r="G13" s="656"/>
      <c r="H13" s="656"/>
      <c r="I13" s="656"/>
      <c r="J13" s="677"/>
    </row>
    <row r="14" spans="1:10">
      <c r="A14" s="365"/>
      <c r="B14" s="656"/>
      <c r="C14" s="3262"/>
      <c r="D14" s="656"/>
      <c r="E14" s="656"/>
      <c r="F14" s="656"/>
      <c r="G14" s="656"/>
      <c r="H14" s="656"/>
      <c r="I14" s="656"/>
      <c r="J14" s="677"/>
    </row>
    <row r="15" spans="1:10">
      <c r="A15" s="365"/>
      <c r="B15" s="3268" t="s">
        <v>635</v>
      </c>
      <c r="C15" s="656" t="s">
        <v>655</v>
      </c>
      <c r="D15" s="656"/>
      <c r="E15" s="656"/>
      <c r="F15" s="656"/>
      <c r="G15" s="656"/>
      <c r="H15" s="656"/>
      <c r="I15" s="656"/>
      <c r="J15" s="677"/>
    </row>
    <row r="16" spans="1:10" ht="9.9" customHeight="1">
      <c r="A16" s="365"/>
      <c r="B16" s="656"/>
      <c r="C16" s="680"/>
      <c r="D16" s="656"/>
      <c r="E16" s="656"/>
      <c r="F16" s="656"/>
      <c r="G16" s="656"/>
      <c r="H16" s="656"/>
      <c r="I16" s="656"/>
      <c r="J16" s="677"/>
    </row>
    <row r="17" spans="1:10">
      <c r="A17" s="365"/>
      <c r="B17" s="656"/>
      <c r="C17" s="656" t="s">
        <v>656</v>
      </c>
      <c r="D17" s="656"/>
      <c r="E17" s="656"/>
      <c r="F17" s="680"/>
      <c r="G17" s="656"/>
      <c r="H17" s="656"/>
      <c r="I17" s="656"/>
      <c r="J17" s="677"/>
    </row>
    <row r="18" spans="1:10">
      <c r="A18" s="365"/>
      <c r="B18" s="656"/>
      <c r="C18" s="656" t="s">
        <v>657</v>
      </c>
      <c r="D18" s="656"/>
      <c r="E18" s="656"/>
      <c r="F18" s="680"/>
      <c r="G18" s="656"/>
      <c r="H18" s="656"/>
      <c r="I18" s="656"/>
      <c r="J18" s="677"/>
    </row>
    <row r="19" spans="1:10">
      <c r="A19" s="365"/>
      <c r="B19" s="656"/>
      <c r="C19" s="656"/>
      <c r="D19" s="656"/>
      <c r="E19" s="656"/>
      <c r="F19" s="680"/>
      <c r="G19" s="656"/>
      <c r="H19" s="656"/>
      <c r="I19" s="656"/>
      <c r="J19" s="677"/>
    </row>
    <row r="20" spans="1:10" ht="25.5" customHeight="1">
      <c r="A20" s="365"/>
      <c r="B20" s="3268" t="s">
        <v>641</v>
      </c>
      <c r="C20" s="3466" t="str">
        <f>CONCATENATE("חלקה של ה",SugGufMevukar," ברווחי (הפסדי) תאגידים עירוניים אינם נזקפים לזכות (לחובת) ההשקעה בתאגידים העירוניים.")</f>
        <v>חלקה של העירייה ברווחי (הפסדי) תאגידים עירוניים אינם נזקפים לזכות (לחובת) ההשקעה בתאגידים העירוניים.</v>
      </c>
      <c r="D20" s="3463"/>
      <c r="E20" s="3463"/>
      <c r="F20" s="3463"/>
      <c r="G20" s="3463"/>
      <c r="H20" s="3463"/>
      <c r="I20" s="656"/>
      <c r="J20" s="677"/>
    </row>
    <row r="21" spans="1:10" ht="9.9" customHeight="1">
      <c r="A21" s="365"/>
      <c r="B21" s="656"/>
      <c r="C21" s="680"/>
      <c r="D21" s="656"/>
      <c r="E21" s="656"/>
      <c r="F21" s="680"/>
      <c r="G21" s="656"/>
      <c r="H21" s="656"/>
      <c r="I21" s="656"/>
      <c r="J21" s="677"/>
    </row>
    <row r="22" spans="1:10">
      <c r="A22" s="365"/>
      <c r="B22" s="656"/>
      <c r="C22" s="680"/>
      <c r="D22" s="656"/>
      <c r="E22" s="656"/>
      <c r="F22" s="656"/>
      <c r="G22" s="656"/>
      <c r="H22" s="656"/>
      <c r="I22" s="656"/>
      <c r="J22" s="677"/>
    </row>
    <row r="23" spans="1:10">
      <c r="A23" s="365"/>
      <c r="B23" s="2753" t="s">
        <v>579</v>
      </c>
      <c r="C23" s="2754" t="s">
        <v>658</v>
      </c>
      <c r="D23" s="656"/>
      <c r="E23" s="656"/>
      <c r="F23" s="656"/>
      <c r="G23" s="656"/>
      <c r="H23" s="656"/>
      <c r="I23" s="656"/>
      <c r="J23" s="677"/>
    </row>
    <row r="24" spans="1:10">
      <c r="A24" s="365"/>
      <c r="B24" s="656"/>
      <c r="C24" s="680"/>
      <c r="D24" s="656"/>
      <c r="E24" s="656"/>
      <c r="F24" s="656"/>
      <c r="G24" s="656"/>
      <c r="H24" s="656"/>
      <c r="I24" s="656"/>
      <c r="J24" s="677"/>
    </row>
    <row r="25" spans="1:10" ht="27.75" customHeight="1">
      <c r="A25" s="365"/>
      <c r="B25" s="656"/>
      <c r="C25" s="3470" t="s">
        <v>2191</v>
      </c>
      <c r="D25" s="3463"/>
      <c r="E25" s="3463"/>
      <c r="F25" s="3463"/>
      <c r="G25" s="3463"/>
      <c r="H25" s="3463"/>
      <c r="I25" s="656"/>
      <c r="J25" s="677"/>
    </row>
    <row r="26" spans="1:10">
      <c r="A26" s="365"/>
      <c r="B26" s="656"/>
      <c r="C26" s="656"/>
      <c r="D26" s="656"/>
      <c r="E26" s="656"/>
      <c r="F26" s="656"/>
      <c r="G26" s="656"/>
      <c r="H26" s="656"/>
      <c r="I26" s="656"/>
      <c r="J26" s="677"/>
    </row>
    <row r="27" spans="1:10">
      <c r="A27" s="365"/>
      <c r="B27" s="2753" t="s">
        <v>585</v>
      </c>
      <c r="C27" s="2755" t="s">
        <v>670</v>
      </c>
      <c r="D27" s="656"/>
      <c r="E27" s="656"/>
      <c r="F27" s="656"/>
      <c r="G27" s="656"/>
      <c r="H27" s="656"/>
      <c r="I27" s="656"/>
      <c r="J27" s="677"/>
    </row>
    <row r="28" spans="1:10">
      <c r="A28" s="365"/>
      <c r="B28" s="656"/>
      <c r="C28" s="681"/>
      <c r="D28" s="656"/>
      <c r="E28" s="656"/>
      <c r="F28" s="656"/>
      <c r="G28" s="656"/>
      <c r="H28" s="656"/>
      <c r="I28" s="656"/>
      <c r="J28" s="677"/>
    </row>
    <row r="29" spans="1:10">
      <c r="A29" s="365"/>
      <c r="B29" s="656"/>
      <c r="C29" s="3325" t="s">
        <v>2598</v>
      </c>
      <c r="D29" s="656"/>
      <c r="E29" s="656"/>
      <c r="F29" s="656"/>
      <c r="G29" s="656"/>
      <c r="H29" s="656"/>
      <c r="I29" s="656"/>
      <c r="J29" s="677"/>
    </row>
    <row r="30" spans="1:10">
      <c r="A30" s="365"/>
      <c r="B30" s="656"/>
      <c r="C30" s="656"/>
      <c r="D30" s="656"/>
      <c r="E30" s="656"/>
      <c r="F30" s="656"/>
      <c r="G30" s="656"/>
      <c r="H30" s="656"/>
      <c r="I30" s="656"/>
      <c r="J30" s="677"/>
    </row>
    <row r="31" spans="1:10">
      <c r="A31" s="365"/>
      <c r="B31" s="2756" t="s">
        <v>671</v>
      </c>
      <c r="C31" s="2754" t="s">
        <v>672</v>
      </c>
      <c r="D31" s="656"/>
      <c r="E31" s="656"/>
      <c r="F31" s="656"/>
      <c r="G31" s="656"/>
      <c r="H31" s="656"/>
      <c r="I31" s="656"/>
      <c r="J31" s="677"/>
    </row>
    <row r="32" spans="1:10">
      <c r="A32" s="365"/>
      <c r="B32" s="656"/>
      <c r="C32" s="656"/>
      <c r="D32" s="656"/>
      <c r="E32" s="656"/>
      <c r="F32" s="656"/>
      <c r="G32" s="656"/>
      <c r="H32" s="656"/>
      <c r="I32" s="656"/>
      <c r="J32" s="677"/>
    </row>
    <row r="33" spans="1:10">
      <c r="A33" s="365"/>
      <c r="B33" s="656"/>
      <c r="C33" s="656" t="s">
        <v>1152</v>
      </c>
      <c r="D33" s="656"/>
      <c r="E33" s="656"/>
      <c r="F33" s="656"/>
      <c r="G33" s="656"/>
      <c r="H33" s="656"/>
      <c r="I33" s="656"/>
      <c r="J33" s="677"/>
    </row>
    <row r="34" spans="1:10">
      <c r="A34" s="365"/>
      <c r="B34" s="656"/>
      <c r="C34" s="656"/>
      <c r="D34" s="656"/>
      <c r="E34" s="656"/>
      <c r="F34" s="656"/>
      <c r="G34" s="656"/>
      <c r="H34" s="656"/>
      <c r="I34" s="656"/>
      <c r="J34" s="677"/>
    </row>
    <row r="35" spans="1:10">
      <c r="A35" s="365"/>
      <c r="B35" s="2753" t="s">
        <v>673</v>
      </c>
      <c r="C35" s="2755" t="s">
        <v>674</v>
      </c>
      <c r="D35" s="656"/>
      <c r="E35" s="656"/>
      <c r="F35" s="656"/>
      <c r="G35" s="656"/>
      <c r="H35" s="656"/>
      <c r="I35" s="656"/>
      <c r="J35" s="677"/>
    </row>
    <row r="36" spans="1:10">
      <c r="A36" s="365"/>
      <c r="B36" s="656"/>
      <c r="C36" s="681"/>
      <c r="D36" s="656"/>
      <c r="E36" s="656"/>
      <c r="F36" s="656"/>
      <c r="G36" s="656"/>
      <c r="H36" s="656"/>
      <c r="I36" s="656"/>
      <c r="J36" s="677"/>
    </row>
    <row r="37" spans="1:10">
      <c r="A37" s="365"/>
      <c r="B37" s="3268" t="s">
        <v>629</v>
      </c>
      <c r="C37" s="656" t="s">
        <v>675</v>
      </c>
      <c r="D37" s="656"/>
      <c r="E37" s="656"/>
      <c r="F37" s="656"/>
      <c r="G37" s="656"/>
      <c r="H37" s="656"/>
      <c r="I37" s="656"/>
      <c r="J37" s="677"/>
    </row>
    <row r="38" spans="1:10" ht="15.75" customHeight="1">
      <c r="A38" s="365"/>
      <c r="B38" s="656"/>
      <c r="C38" s="656" t="s">
        <v>676</v>
      </c>
      <c r="D38" s="656"/>
      <c r="E38" s="656"/>
      <c r="F38" s="656"/>
      <c r="G38" s="656"/>
      <c r="H38" s="656"/>
      <c r="I38" s="656"/>
      <c r="J38" s="677"/>
    </row>
    <row r="39" spans="1:10" ht="9.9" customHeight="1">
      <c r="A39" s="365"/>
      <c r="B39" s="656"/>
      <c r="C39" s="680"/>
      <c r="D39" s="656"/>
      <c r="E39" s="656"/>
      <c r="F39" s="656"/>
      <c r="G39" s="656"/>
      <c r="H39" s="656"/>
      <c r="I39" s="656"/>
      <c r="J39" s="677"/>
    </row>
    <row r="40" spans="1:10" ht="23.25" customHeight="1">
      <c r="A40" s="365"/>
      <c r="B40" s="3268" t="s">
        <v>631</v>
      </c>
      <c r="C40" s="3465" t="s">
        <v>2192</v>
      </c>
      <c r="D40" s="3463"/>
      <c r="E40" s="3463"/>
      <c r="F40" s="3463"/>
      <c r="G40" s="3463"/>
      <c r="H40" s="3463"/>
      <c r="I40" s="656"/>
      <c r="J40" s="677"/>
    </row>
    <row r="41" spans="1:10" ht="9.9" customHeight="1">
      <c r="A41" s="365"/>
      <c r="B41" s="656"/>
      <c r="C41" s="656"/>
      <c r="D41" s="656"/>
      <c r="E41" s="656"/>
      <c r="F41" s="656"/>
      <c r="G41" s="656"/>
      <c r="H41" s="656"/>
      <c r="I41" s="656"/>
      <c r="J41" s="677"/>
    </row>
    <row r="42" spans="1:10" ht="30" customHeight="1">
      <c r="A42" s="365"/>
      <c r="B42" s="3268" t="s">
        <v>635</v>
      </c>
      <c r="C42" s="3466" t="s">
        <v>677</v>
      </c>
      <c r="D42" s="3463"/>
      <c r="E42" s="3463"/>
      <c r="F42" s="3463"/>
      <c r="G42" s="3463"/>
      <c r="H42" s="3463"/>
      <c r="I42" s="656"/>
      <c r="J42" s="677"/>
    </row>
    <row r="43" spans="1:10">
      <c r="A43" s="365"/>
      <c r="B43" s="656"/>
      <c r="C43" s="680"/>
      <c r="D43" s="656"/>
      <c r="E43" s="656"/>
      <c r="F43" s="656"/>
      <c r="G43" s="656"/>
      <c r="H43" s="656"/>
      <c r="I43" s="656"/>
      <c r="J43" s="677"/>
    </row>
    <row r="44" spans="1:10" ht="26.25" customHeight="1">
      <c r="A44" s="365"/>
      <c r="B44" s="3268" t="s">
        <v>641</v>
      </c>
      <c r="C44" s="3466" t="s">
        <v>678</v>
      </c>
      <c r="D44" s="3463"/>
      <c r="E44" s="3463"/>
      <c r="F44" s="3463"/>
      <c r="G44" s="3463"/>
      <c r="H44" s="3463"/>
      <c r="I44" s="656"/>
      <c r="J44" s="677"/>
    </row>
    <row r="45" spans="1:10">
      <c r="A45" s="365"/>
      <c r="B45" s="656"/>
      <c r="C45" s="656"/>
      <c r="D45" s="656"/>
      <c r="E45" s="656"/>
      <c r="F45" s="656"/>
      <c r="G45" s="656"/>
      <c r="H45" s="656"/>
      <c r="I45" s="656"/>
      <c r="J45" s="677"/>
    </row>
    <row r="46" spans="1:10" ht="13.8" thickBot="1">
      <c r="A46" s="682"/>
      <c r="B46" s="2757"/>
      <c r="C46" s="2757"/>
      <c r="D46" s="2757"/>
      <c r="E46" s="2757"/>
      <c r="F46" s="2757"/>
      <c r="G46" s="2757"/>
      <c r="H46" s="2757"/>
      <c r="I46" s="2757"/>
      <c r="J46" s="677"/>
    </row>
    <row r="47" spans="1:10" ht="13.8" thickTop="1"/>
  </sheetData>
  <sheetProtection password="83C1" sheet="1" objects="1" scenarios="1"/>
  <mergeCells count="12">
    <mergeCell ref="C40:H40"/>
    <mergeCell ref="C42:H42"/>
    <mergeCell ref="C44:H44"/>
    <mergeCell ref="G1:I1"/>
    <mergeCell ref="G2:I2"/>
    <mergeCell ref="G3:I3"/>
    <mergeCell ref="C11:H11"/>
    <mergeCell ref="C25:H25"/>
    <mergeCell ref="C20:H20"/>
    <mergeCell ref="A5:I5"/>
    <mergeCell ref="A6:I6"/>
    <mergeCell ref="A7:I7"/>
  </mergeCells>
  <phoneticPr fontId="4" type="noConversion"/>
  <hyperlinks>
    <hyperlink ref="A4" location="'תוכן הענינים'!A1" tooltip="לחץ להצגת גליון תוכן הענינים" display="הצג תוכן ענינים"/>
  </hyperlinks>
  <printOptions horizontalCentered="1"/>
  <pageMargins left="0" right="0" top="0.75" bottom="0.98425196850393704" header="0.25" footer="0.511811023622047"/>
  <pageSetup paperSize="9" scale="95" orientation="portrait" blackAndWhite="1" horizontalDpi="300" verticalDpi="300" r:id="rId1"/>
  <headerFooter alignWithMargins="0">
    <oddHeader>&amp;L&amp;8&amp;A</oddHeader>
    <oddFooter>&amp;L &amp;C&amp;8 &amp;P</oddFooter>
  </headerFooter>
  <ignoredErrors>
    <ignoredError sqref="C11" unlocked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9">
    <pageSetUpPr autoPageBreaks="0"/>
  </sheetPr>
  <dimension ref="A1:J63"/>
  <sheetViews>
    <sheetView showGridLines="0" showRowColHeaders="0" showZeros="0" rightToLeft="1" showOutlineSymbols="0" zoomScale="90" zoomScaleNormal="90" zoomScaleSheetLayoutView="75" workbookViewId="0">
      <selection activeCell="A4" sqref="A4"/>
    </sheetView>
  </sheetViews>
  <sheetFormatPr defaultColWidth="9.109375" defaultRowHeight="13.2"/>
  <cols>
    <col min="1" max="1" width="2.6640625" style="674" customWidth="1"/>
    <col min="2" max="2" width="3.44140625" style="674" customWidth="1"/>
    <col min="3" max="3" width="4.109375" style="674" customWidth="1"/>
    <col min="4" max="5" width="9.109375" style="674"/>
    <col min="6" max="6" width="18.33203125" style="674" customWidth="1"/>
    <col min="7" max="8" width="9.109375" style="674"/>
    <col min="9" max="9" width="20.109375" style="674" customWidth="1"/>
    <col min="10" max="10" width="10.44140625" style="674" customWidth="1"/>
    <col min="11" max="16384" width="9.109375" style="674"/>
  </cols>
  <sheetData>
    <row r="1" spans="1:10" ht="20.25" customHeight="1">
      <c r="A1" s="683"/>
      <c r="B1" s="684"/>
      <c r="C1" s="684"/>
      <c r="D1" s="684"/>
      <c r="E1" s="684"/>
      <c r="F1" s="684"/>
      <c r="G1" s="3331" t="str">
        <f>'הגדרות כלליות'!D6</f>
        <v>עירית הרצליה</v>
      </c>
      <c r="H1" s="3477"/>
      <c r="I1" s="3477"/>
      <c r="J1" s="3477"/>
    </row>
    <row r="2" spans="1:10" ht="15.6">
      <c r="A2" s="683"/>
      <c r="B2" s="684"/>
      <c r="C2" s="685"/>
      <c r="D2" s="685"/>
      <c r="E2" s="685"/>
      <c r="F2" s="685"/>
      <c r="G2" s="3331" t="s">
        <v>737</v>
      </c>
      <c r="H2" s="3333"/>
      <c r="I2" s="3333"/>
      <c r="J2" s="3333"/>
    </row>
    <row r="3" spans="1:10" ht="15.6">
      <c r="A3" s="683"/>
      <c r="B3" s="684"/>
      <c r="C3" s="685"/>
      <c r="D3" s="685"/>
      <c r="E3" s="685"/>
      <c r="F3" s="685"/>
      <c r="G3" s="3331" t="str">
        <f>CONCATENATE("לשנה שנסתיימה ביום 31 בדצמבר ",'הגדרות כלליות'!D10, " (אלפי ש''ח) ")</f>
        <v xml:space="preserve">לשנה שנסתיימה ביום 31 בדצמבר 2015 (אלפי ש''ח) </v>
      </c>
      <c r="H3" s="3333"/>
      <c r="I3" s="3333"/>
      <c r="J3" s="3333"/>
    </row>
    <row r="4" spans="1:10" ht="15.6">
      <c r="A4" s="638" t="s">
        <v>339</v>
      </c>
      <c r="B4" s="364"/>
      <c r="C4" s="364"/>
      <c r="D4" s="364"/>
      <c r="E4" s="364"/>
      <c r="F4" s="364"/>
      <c r="G4" s="364"/>
      <c r="H4" s="686"/>
      <c r="I4" s="686"/>
      <c r="J4" s="687"/>
    </row>
    <row r="5" spans="1:10" ht="15.6">
      <c r="A5" s="3336" t="str">
        <f>G1</f>
        <v>עירית הרצליה</v>
      </c>
      <c r="B5" s="3336"/>
      <c r="C5" s="3336"/>
      <c r="D5" s="3336"/>
      <c r="E5" s="3336"/>
      <c r="F5" s="3336"/>
      <c r="G5" s="3336"/>
      <c r="H5" s="3336"/>
      <c r="I5" s="3336"/>
      <c r="J5" s="688"/>
    </row>
    <row r="6" spans="1:10" ht="15.6">
      <c r="A6" s="3336" t="str">
        <f>G2</f>
        <v>ביאורים לדוחות הכספיים</v>
      </c>
      <c r="B6" s="3336"/>
      <c r="C6" s="3336"/>
      <c r="D6" s="3336"/>
      <c r="E6" s="3336"/>
      <c r="F6" s="3336"/>
      <c r="G6" s="3336"/>
      <c r="H6" s="3336"/>
      <c r="I6" s="3336"/>
      <c r="J6" s="688"/>
    </row>
    <row r="7" spans="1:10" ht="15.6">
      <c r="A7" s="3336" t="str">
        <f>G3</f>
        <v xml:space="preserve">לשנה שנסתיימה ביום 31 בדצמבר 2015 (אלפי ש''ח) </v>
      </c>
      <c r="B7" s="3336"/>
      <c r="C7" s="3336"/>
      <c r="D7" s="3336"/>
      <c r="E7" s="3336"/>
      <c r="F7" s="3336"/>
      <c r="G7" s="3336"/>
      <c r="H7" s="3336"/>
      <c r="I7" s="3336"/>
      <c r="J7" s="688"/>
    </row>
    <row r="8" spans="1:10" ht="27.75" customHeight="1">
      <c r="A8" s="656"/>
      <c r="B8" s="2753" t="s">
        <v>679</v>
      </c>
      <c r="C8" s="3474" t="s">
        <v>680</v>
      </c>
      <c r="D8" s="3474"/>
      <c r="E8" s="3474"/>
      <c r="F8" s="656"/>
      <c r="G8" s="656"/>
      <c r="H8" s="656"/>
      <c r="I8" s="656"/>
      <c r="J8" s="2758"/>
    </row>
    <row r="9" spans="1:10">
      <c r="A9" s="656"/>
      <c r="B9" s="3268" t="s">
        <v>629</v>
      </c>
      <c r="C9" s="656" t="s">
        <v>681</v>
      </c>
      <c r="D9" s="656"/>
      <c r="E9" s="656"/>
      <c r="F9" s="656"/>
      <c r="G9" s="656"/>
      <c r="H9" s="656"/>
      <c r="I9" s="656"/>
      <c r="J9" s="2758"/>
    </row>
    <row r="10" spans="1:10">
      <c r="A10" s="656"/>
      <c r="B10" s="656"/>
      <c r="C10" s="680"/>
      <c r="D10" s="656"/>
      <c r="E10" s="656"/>
      <c r="F10" s="656"/>
      <c r="G10" s="656"/>
      <c r="H10" s="656"/>
      <c r="I10" s="656"/>
      <c r="J10" s="2758"/>
    </row>
    <row r="11" spans="1:10" ht="24.75" customHeight="1">
      <c r="A11" s="656"/>
      <c r="B11" s="3268" t="s">
        <v>631</v>
      </c>
      <c r="C11" s="3465" t="s">
        <v>2193</v>
      </c>
      <c r="D11" s="3463"/>
      <c r="E11" s="3463"/>
      <c r="F11" s="3463"/>
      <c r="G11" s="3463"/>
      <c r="H11" s="3463"/>
      <c r="I11" s="3463"/>
      <c r="J11" s="2758"/>
    </row>
    <row r="12" spans="1:10" ht="9.75" customHeight="1">
      <c r="A12" s="656"/>
      <c r="B12" s="656"/>
      <c r="C12" s="680"/>
      <c r="D12" s="656"/>
      <c r="E12" s="656"/>
      <c r="F12" s="656"/>
      <c r="G12" s="656"/>
      <c r="H12" s="656"/>
      <c r="I12" s="656"/>
      <c r="J12" s="2758"/>
    </row>
    <row r="13" spans="1:10" ht="18.75" customHeight="1">
      <c r="A13" s="656"/>
      <c r="B13" s="3268" t="s">
        <v>635</v>
      </c>
      <c r="C13" s="656" t="s">
        <v>689</v>
      </c>
      <c r="D13" s="656"/>
      <c r="E13" s="656"/>
      <c r="F13" s="656"/>
      <c r="G13" s="656"/>
      <c r="H13" s="656"/>
      <c r="I13" s="656"/>
      <c r="J13" s="2758"/>
    </row>
    <row r="14" spans="1:10">
      <c r="A14" s="656"/>
      <c r="B14" s="656"/>
      <c r="C14" s="656"/>
      <c r="D14" s="656"/>
      <c r="E14" s="656"/>
      <c r="F14" s="656"/>
      <c r="G14" s="656"/>
      <c r="H14" s="656"/>
      <c r="I14" s="656"/>
      <c r="J14" s="2758"/>
    </row>
    <row r="15" spans="1:10" ht="27.75" customHeight="1">
      <c r="A15" s="656"/>
      <c r="B15" s="3268" t="s">
        <v>641</v>
      </c>
      <c r="C15" s="3465" t="s">
        <v>2228</v>
      </c>
      <c r="D15" s="3463"/>
      <c r="E15" s="3463"/>
      <c r="F15" s="3463"/>
      <c r="G15" s="3463"/>
      <c r="H15" s="3463"/>
      <c r="I15" s="3463"/>
      <c r="J15" s="2758"/>
    </row>
    <row r="16" spans="1:10" ht="15.75" customHeight="1">
      <c r="A16" s="656"/>
      <c r="B16" s="656"/>
      <c r="C16" s="680"/>
      <c r="D16" s="656"/>
      <c r="E16" s="656"/>
      <c r="F16" s="656"/>
      <c r="G16" s="656"/>
      <c r="H16" s="656"/>
      <c r="I16" s="656"/>
      <c r="J16" s="2758"/>
    </row>
    <row r="17" spans="1:10" ht="28.5" customHeight="1">
      <c r="A17" s="656"/>
      <c r="B17" s="3268" t="s">
        <v>645</v>
      </c>
      <c r="C17" s="3466" t="str">
        <f>CONCATENATE("א. לא נרשמה הפרשה לפיצויים בגין עובדי ה",SugGufMevukar," אשר זכאים לפנסיה תקציבית. במקרים בהם פורש העובד, כאמור לעיל, לפני הגיעו לפנסיה, נרשמת ההוצאה לפיצויים על בסיס מזומן. ")</f>
        <v xml:space="preserve">א. לא נרשמה הפרשה לפיצויים בגין עובדי העירייה אשר זכאים לפנסיה תקציבית. במקרים בהם פורש העובד, כאמור לעיל, לפני הגיעו לפנסיה, נרשמת ההוצאה לפיצויים על בסיס מזומן. </v>
      </c>
      <c r="D17" s="3463"/>
      <c r="E17" s="3463"/>
      <c r="F17" s="3463"/>
      <c r="G17" s="3463"/>
      <c r="H17" s="3463"/>
      <c r="I17" s="3463"/>
      <c r="J17" s="2758"/>
    </row>
    <row r="18" spans="1:10">
      <c r="A18" s="656"/>
      <c r="B18" s="656"/>
      <c r="C18" s="656"/>
      <c r="D18" s="656"/>
      <c r="E18" s="656"/>
      <c r="F18" s="656"/>
      <c r="G18" s="656"/>
      <c r="H18" s="656"/>
      <c r="I18" s="656"/>
      <c r="J18" s="2758"/>
    </row>
    <row r="19" spans="1:10" ht="27" customHeight="1">
      <c r="A19" s="656"/>
      <c r="B19" s="656"/>
      <c r="C19" s="3465" t="s">
        <v>2227</v>
      </c>
      <c r="D19" s="3463"/>
      <c r="E19" s="3463"/>
      <c r="F19" s="3463"/>
      <c r="G19" s="3463"/>
      <c r="H19" s="3463"/>
      <c r="I19" s="3463"/>
      <c r="J19" s="2758"/>
    </row>
    <row r="20" spans="1:10">
      <c r="A20" s="656"/>
      <c r="B20" s="656"/>
      <c r="C20" s="656"/>
      <c r="D20" s="656"/>
      <c r="E20" s="656"/>
      <c r="F20" s="656"/>
      <c r="G20" s="656"/>
      <c r="H20" s="656"/>
      <c r="I20" s="656"/>
      <c r="J20" s="2758"/>
    </row>
    <row r="21" spans="1:10">
      <c r="A21" s="656"/>
      <c r="B21" s="2753" t="s">
        <v>690</v>
      </c>
      <c r="C21" s="3473" t="s">
        <v>691</v>
      </c>
      <c r="D21" s="3473"/>
      <c r="E21" s="3473"/>
      <c r="F21" s="3473"/>
      <c r="G21" s="3473"/>
      <c r="H21" s="3473"/>
      <c r="I21" s="656"/>
      <c r="J21" s="2758"/>
    </row>
    <row r="22" spans="1:10">
      <c r="A22" s="656"/>
      <c r="B22" s="656"/>
      <c r="C22" s="656"/>
      <c r="D22" s="656"/>
      <c r="E22" s="656"/>
      <c r="F22" s="656"/>
      <c r="G22" s="656"/>
      <c r="H22" s="656"/>
      <c r="I22" s="656"/>
      <c r="J22" s="2758"/>
    </row>
    <row r="23" spans="1:10">
      <c r="A23" s="656"/>
      <c r="B23" s="656"/>
      <c r="C23" s="656" t="s">
        <v>692</v>
      </c>
      <c r="D23" s="656"/>
      <c r="E23" s="656"/>
      <c r="F23" s="656"/>
      <c r="G23" s="656"/>
      <c r="H23" s="656"/>
      <c r="I23" s="656"/>
      <c r="J23" s="2758"/>
    </row>
    <row r="24" spans="1:10">
      <c r="A24" s="656"/>
      <c r="B24" s="656"/>
      <c r="C24" s="3262"/>
      <c r="D24" s="656"/>
      <c r="E24" s="656"/>
      <c r="F24" s="656"/>
      <c r="G24" s="656"/>
      <c r="H24" s="656"/>
      <c r="I24" s="656"/>
      <c r="J24" s="2758"/>
    </row>
    <row r="25" spans="1:10">
      <c r="A25" s="656"/>
      <c r="B25" s="656"/>
      <c r="C25" s="3262" t="s">
        <v>693</v>
      </c>
      <c r="D25" s="656"/>
      <c r="E25" s="656"/>
      <c r="F25" s="656"/>
      <c r="G25" s="656"/>
      <c r="H25" s="656"/>
      <c r="I25" s="656"/>
      <c r="J25" s="2758"/>
    </row>
    <row r="26" spans="1:10">
      <c r="A26" s="656"/>
      <c r="B26" s="656"/>
      <c r="C26" s="680" t="s">
        <v>697</v>
      </c>
      <c r="D26" s="656"/>
      <c r="E26" s="656"/>
      <c r="F26" s="656"/>
      <c r="G26" s="656"/>
      <c r="H26" s="656"/>
      <c r="I26" s="656"/>
      <c r="J26" s="2758"/>
    </row>
    <row r="27" spans="1:10">
      <c r="A27" s="656"/>
      <c r="B27" s="656"/>
      <c r="C27" s="680" t="s">
        <v>1151</v>
      </c>
      <c r="D27" s="656"/>
      <c r="E27" s="656"/>
      <c r="F27" s="656"/>
      <c r="G27" s="656"/>
      <c r="H27" s="656"/>
      <c r="I27" s="656"/>
      <c r="J27" s="2758"/>
    </row>
    <row r="28" spans="1:10" ht="27.75" customHeight="1">
      <c r="A28" s="656"/>
      <c r="B28" s="656"/>
      <c r="C28" s="3478" t="s">
        <v>2229</v>
      </c>
      <c r="D28" s="3479"/>
      <c r="E28" s="3479"/>
      <c r="F28" s="3479"/>
      <c r="G28" s="3479"/>
      <c r="H28" s="3479"/>
      <c r="I28" s="3479"/>
      <c r="J28" s="2758"/>
    </row>
    <row r="29" spans="1:10">
      <c r="A29" s="656"/>
      <c r="B29" s="656"/>
      <c r="C29" s="3262"/>
      <c r="D29" s="656"/>
      <c r="E29" s="656"/>
      <c r="F29" s="656"/>
      <c r="G29" s="656"/>
      <c r="H29" s="656"/>
      <c r="I29" s="656"/>
      <c r="J29" s="2758"/>
    </row>
    <row r="30" spans="1:10">
      <c r="A30" s="656"/>
      <c r="B30" s="656"/>
      <c r="C30" s="656"/>
      <c r="D30" s="656"/>
      <c r="E30" s="656"/>
      <c r="F30" s="656"/>
      <c r="G30" s="656"/>
      <c r="H30" s="656"/>
      <c r="I30" s="656"/>
      <c r="J30" s="2758"/>
    </row>
    <row r="31" spans="1:10">
      <c r="A31" s="656"/>
      <c r="B31" s="2753" t="s">
        <v>698</v>
      </c>
      <c r="C31" s="3474" t="s">
        <v>699</v>
      </c>
      <c r="D31" s="3474"/>
      <c r="E31" s="3474"/>
      <c r="F31" s="656"/>
      <c r="G31" s="656"/>
      <c r="H31" s="656"/>
      <c r="I31" s="656"/>
      <c r="J31" s="2758"/>
    </row>
    <row r="32" spans="1:10">
      <c r="A32" s="656"/>
      <c r="B32" s="656"/>
      <c r="C32" s="680"/>
      <c r="D32" s="656"/>
      <c r="E32" s="656"/>
      <c r="F32" s="656"/>
      <c r="G32" s="656"/>
      <c r="H32" s="656"/>
      <c r="I32" s="656"/>
      <c r="J32" s="2758"/>
    </row>
    <row r="33" spans="1:10">
      <c r="A33" s="656"/>
      <c r="B33" s="3268" t="s">
        <v>629</v>
      </c>
      <c r="C33" s="3304" t="s">
        <v>2230</v>
      </c>
      <c r="D33" s="656"/>
      <c r="E33" s="656"/>
      <c r="F33" s="656"/>
      <c r="G33" s="656"/>
      <c r="H33" s="656"/>
      <c r="I33" s="656"/>
      <c r="J33" s="2758"/>
    </row>
    <row r="34" spans="1:10">
      <c r="A34" s="656"/>
      <c r="B34" s="3268" t="s">
        <v>631</v>
      </c>
      <c r="C34" s="3304" t="s">
        <v>2231</v>
      </c>
      <c r="D34" s="656"/>
      <c r="E34" s="656"/>
      <c r="F34" s="656"/>
      <c r="G34" s="656"/>
      <c r="H34" s="656"/>
      <c r="I34" s="656"/>
      <c r="J34" s="2758"/>
    </row>
    <row r="35" spans="1:10">
      <c r="A35" s="656"/>
      <c r="B35" s="3268" t="s">
        <v>635</v>
      </c>
      <c r="C35" s="656" t="s">
        <v>1510</v>
      </c>
      <c r="D35" s="656"/>
      <c r="E35" s="656"/>
      <c r="F35" s="656"/>
      <c r="G35" s="656"/>
      <c r="H35" s="656"/>
      <c r="I35" s="656"/>
      <c r="J35" s="2758"/>
    </row>
    <row r="36" spans="1:10" ht="27.75" customHeight="1">
      <c r="A36" s="656"/>
      <c r="B36" s="3268"/>
      <c r="C36" s="3472"/>
      <c r="D36" s="3475"/>
      <c r="E36" s="3475"/>
      <c r="F36" s="3475"/>
      <c r="G36" s="3475"/>
      <c r="H36" s="3475"/>
      <c r="I36" s="3475"/>
      <c r="J36" s="2758"/>
    </row>
    <row r="37" spans="1:10">
      <c r="A37" s="656"/>
      <c r="B37" s="656"/>
      <c r="C37" s="656"/>
      <c r="D37" s="656"/>
      <c r="E37" s="656"/>
      <c r="F37" s="656"/>
      <c r="G37" s="656"/>
      <c r="H37" s="656"/>
      <c r="I37" s="656"/>
      <c r="J37" s="2758"/>
    </row>
    <row r="38" spans="1:10">
      <c r="A38" s="656"/>
      <c r="B38" s="2753"/>
      <c r="C38" s="3473"/>
      <c r="D38" s="3473"/>
      <c r="E38" s="3473"/>
      <c r="F38" s="656"/>
      <c r="G38" s="656"/>
      <c r="H38" s="656"/>
      <c r="I38" s="656"/>
      <c r="J38" s="2758"/>
    </row>
    <row r="39" spans="1:10">
      <c r="A39" s="656"/>
      <c r="B39" s="2753"/>
      <c r="C39" s="2759"/>
      <c r="D39" s="656"/>
      <c r="E39" s="656"/>
      <c r="F39" s="656"/>
      <c r="G39" s="656"/>
      <c r="H39" s="656"/>
      <c r="I39" s="656"/>
      <c r="J39" s="2758"/>
    </row>
    <row r="40" spans="1:10" ht="25.5" customHeight="1">
      <c r="A40" s="656"/>
      <c r="B40" s="656"/>
      <c r="C40" s="3465"/>
      <c r="D40" s="3463"/>
      <c r="E40" s="3463"/>
      <c r="F40" s="3463"/>
      <c r="G40" s="3463"/>
      <c r="H40" s="3463"/>
      <c r="I40" s="3463"/>
      <c r="J40" s="2758"/>
    </row>
    <row r="41" spans="1:10">
      <c r="A41" s="656"/>
      <c r="B41" s="656"/>
      <c r="C41" s="656"/>
      <c r="D41" s="656"/>
      <c r="E41" s="656"/>
      <c r="F41" s="656"/>
      <c r="G41" s="656"/>
      <c r="H41" s="656"/>
      <c r="I41" s="656"/>
      <c r="J41" s="2758"/>
    </row>
    <row r="42" spans="1:10" ht="24.75" customHeight="1">
      <c r="A42" s="656"/>
      <c r="B42" s="2753" t="s">
        <v>360</v>
      </c>
      <c r="C42" s="3472"/>
      <c r="D42" s="3463"/>
      <c r="E42" s="3463"/>
      <c r="F42" s="3463"/>
      <c r="G42" s="3463"/>
      <c r="H42" s="3463"/>
      <c r="I42" s="3463"/>
      <c r="J42" s="2758"/>
    </row>
    <row r="43" spans="1:10">
      <c r="A43" s="656"/>
      <c r="B43" s="656"/>
      <c r="C43" s="3262"/>
      <c r="D43" s="656"/>
      <c r="E43" s="656"/>
      <c r="F43" s="656"/>
      <c r="G43" s="656"/>
      <c r="H43" s="656"/>
      <c r="I43" s="656"/>
      <c r="J43" s="2758"/>
    </row>
    <row r="44" spans="1:10">
      <c r="A44" s="656"/>
      <c r="B44" s="656"/>
      <c r="C44" s="656"/>
      <c r="D44" s="656"/>
      <c r="E44" s="656"/>
      <c r="F44" s="656"/>
      <c r="G44" s="656"/>
      <c r="H44" s="656"/>
      <c r="I44" s="656"/>
      <c r="J44" s="2758"/>
    </row>
    <row r="45" spans="1:10">
      <c r="A45" s="656"/>
      <c r="B45" s="2753" t="s">
        <v>700</v>
      </c>
      <c r="C45" s="2759" t="s">
        <v>1400</v>
      </c>
      <c r="D45" s="656"/>
      <c r="E45" s="656"/>
      <c r="F45" s="656"/>
      <c r="G45" s="656"/>
      <c r="H45" s="656"/>
      <c r="I45" s="656"/>
      <c r="J45" s="2758"/>
    </row>
    <row r="46" spans="1:10">
      <c r="A46" s="656"/>
      <c r="B46" s="2753"/>
      <c r="C46" s="3266"/>
      <c r="D46" s="656"/>
      <c r="E46" s="656"/>
      <c r="F46" s="656"/>
      <c r="G46" s="656"/>
      <c r="H46" s="656"/>
      <c r="I46" s="656"/>
      <c r="J46" s="2758"/>
    </row>
    <row r="47" spans="1:10" ht="26.25" customHeight="1">
      <c r="A47" s="656"/>
      <c r="B47" s="656"/>
      <c r="C47" s="3476" t="s">
        <v>2194</v>
      </c>
      <c r="D47" s="3463"/>
      <c r="E47" s="3463"/>
      <c r="F47" s="3463"/>
      <c r="G47" s="3463"/>
      <c r="H47" s="3463"/>
      <c r="I47" s="3463"/>
      <c r="J47" s="2758"/>
    </row>
    <row r="48" spans="1:10">
      <c r="A48" s="656"/>
      <c r="B48" s="656"/>
      <c r="C48" s="3262"/>
      <c r="D48" s="656"/>
      <c r="E48" s="656"/>
      <c r="F48" s="656"/>
      <c r="G48" s="656"/>
      <c r="H48" s="656"/>
      <c r="I48" s="656"/>
      <c r="J48" s="2758"/>
    </row>
    <row r="49" spans="1:10" ht="24.75" customHeight="1">
      <c r="A49" s="656"/>
      <c r="B49" s="656"/>
      <c r="C49" s="3472" t="s">
        <v>2465</v>
      </c>
      <c r="D49" s="3463"/>
      <c r="E49" s="3463"/>
      <c r="F49" s="3463"/>
      <c r="G49" s="3463"/>
      <c r="H49" s="3463"/>
      <c r="I49" s="3463"/>
      <c r="J49" s="2758"/>
    </row>
    <row r="50" spans="1:10">
      <c r="A50" s="656"/>
      <c r="B50" s="656"/>
      <c r="C50" s="3262"/>
      <c r="D50" s="656"/>
      <c r="E50" s="656"/>
      <c r="F50" s="656"/>
      <c r="G50" s="656"/>
      <c r="H50" s="656"/>
      <c r="I50" s="656"/>
      <c r="J50" s="2758"/>
    </row>
    <row r="51" spans="1:10">
      <c r="A51" s="656"/>
      <c r="B51" s="656"/>
      <c r="C51" s="656"/>
      <c r="D51" s="656"/>
      <c r="E51" s="656"/>
      <c r="F51" s="656"/>
      <c r="G51" s="656"/>
      <c r="H51" s="656"/>
      <c r="I51" s="656"/>
      <c r="J51" s="2758"/>
    </row>
    <row r="52" spans="1:10">
      <c r="A52" s="656"/>
      <c r="B52" s="2753" t="s">
        <v>1518</v>
      </c>
      <c r="C52" s="2759" t="s">
        <v>639</v>
      </c>
      <c r="D52" s="656"/>
      <c r="E52" s="656"/>
      <c r="F52" s="656"/>
      <c r="G52" s="656"/>
      <c r="H52" s="656"/>
      <c r="I52" s="656"/>
      <c r="J52" s="2758"/>
    </row>
    <row r="53" spans="1:10">
      <c r="A53" s="656"/>
      <c r="B53" s="2753"/>
      <c r="C53" s="3266"/>
      <c r="D53" s="656"/>
      <c r="E53" s="656"/>
      <c r="F53" s="656"/>
      <c r="G53" s="656"/>
      <c r="H53" s="656"/>
      <c r="I53" s="656"/>
      <c r="J53" s="2758"/>
    </row>
    <row r="54" spans="1:10" ht="25.5" customHeight="1">
      <c r="A54" s="656"/>
      <c r="B54" s="656"/>
      <c r="C54" s="3476" t="str">
        <f>CONCATENATE("סכומי החובות המסופקים והחובות למחיקה נכללו בנספח 2 לטופס 1 בהתאם לאומדן שערכה הנהלת ה","",SugGufMevukar," ","על פי סוגי החיובים ועומק תקופות החוב.")</f>
        <v>סכומי החובות המסופקים והחובות למחיקה נכללו בנספח 2 לטופס 1 בהתאם לאומדן שערכה הנהלת העירייה על פי סוגי החיובים ועומק תקופות החוב.</v>
      </c>
      <c r="D54" s="3463"/>
      <c r="E54" s="3463"/>
      <c r="F54" s="3463"/>
      <c r="G54" s="3463"/>
      <c r="H54" s="3463"/>
      <c r="I54" s="3463"/>
      <c r="J54" s="2758"/>
    </row>
    <row r="55" spans="1:10">
      <c r="A55" s="656"/>
      <c r="B55" s="656"/>
      <c r="C55" s="656"/>
      <c r="D55" s="656"/>
      <c r="E55" s="656"/>
      <c r="F55" s="656"/>
      <c r="G55" s="656"/>
      <c r="H55" s="656"/>
      <c r="I55" s="656"/>
      <c r="J55" s="2758"/>
    </row>
    <row r="56" spans="1:10">
      <c r="A56" s="656"/>
      <c r="B56" s="2753" t="s">
        <v>2177</v>
      </c>
      <c r="C56" s="3261" t="s">
        <v>2178</v>
      </c>
      <c r="D56" s="656"/>
      <c r="E56" s="656"/>
      <c r="F56" s="656"/>
      <c r="G56" s="656"/>
      <c r="H56" s="656"/>
      <c r="I56" s="656"/>
      <c r="J56" s="2758"/>
    </row>
    <row r="57" spans="1:10">
      <c r="A57" s="656"/>
      <c r="B57" s="2753"/>
      <c r="C57" s="3266"/>
      <c r="D57" s="656"/>
      <c r="E57" s="656"/>
      <c r="F57" s="656"/>
      <c r="G57" s="656"/>
      <c r="H57" s="656"/>
      <c r="I57" s="656"/>
      <c r="J57" s="2758"/>
    </row>
    <row r="58" spans="1:10" ht="57" customHeight="1">
      <c r="A58" s="656"/>
      <c r="B58" s="656"/>
      <c r="C58" s="3472" t="s">
        <v>2211</v>
      </c>
      <c r="D58" s="3463"/>
      <c r="E58" s="3463"/>
      <c r="F58" s="3463"/>
      <c r="G58" s="3463"/>
      <c r="H58" s="3463"/>
      <c r="I58" s="3463"/>
      <c r="J58" s="2758"/>
    </row>
    <row r="59" spans="1:10">
      <c r="A59" s="656"/>
      <c r="B59" s="656"/>
      <c r="C59" s="3262"/>
      <c r="D59" s="656"/>
      <c r="E59" s="656"/>
      <c r="F59" s="656"/>
      <c r="G59" s="656"/>
      <c r="H59" s="656"/>
      <c r="I59" s="656"/>
      <c r="J59" s="2758"/>
    </row>
    <row r="60" spans="1:10">
      <c r="A60" s="656"/>
      <c r="B60" s="656"/>
      <c r="C60" s="3262"/>
      <c r="D60" s="656"/>
      <c r="E60" s="656"/>
      <c r="F60" s="656"/>
      <c r="G60" s="656"/>
      <c r="H60" s="656"/>
      <c r="I60" s="656"/>
      <c r="J60" s="2758"/>
    </row>
    <row r="61" spans="1:10">
      <c r="A61" s="656"/>
      <c r="B61" s="656"/>
      <c r="C61" s="3262"/>
      <c r="D61" s="656"/>
      <c r="E61" s="656"/>
      <c r="F61" s="656"/>
      <c r="G61" s="656"/>
      <c r="H61" s="656"/>
      <c r="I61" s="656"/>
      <c r="J61" s="2758"/>
    </row>
    <row r="62" spans="1:10" ht="13.8" thickBot="1">
      <c r="A62" s="2757"/>
      <c r="B62" s="2757"/>
      <c r="C62" s="2757"/>
      <c r="D62" s="2757"/>
      <c r="E62" s="2757"/>
      <c r="F62" s="2757"/>
      <c r="G62" s="2757"/>
      <c r="H62" s="2757"/>
      <c r="I62" s="2757"/>
      <c r="J62" s="2760"/>
    </row>
    <row r="63" spans="1:10" ht="13.8" thickTop="1"/>
  </sheetData>
  <sheetProtection password="83C1" sheet="1" objects="1" scenarios="1"/>
  <mergeCells count="22">
    <mergeCell ref="A5:I5"/>
    <mergeCell ref="G3:J3"/>
    <mergeCell ref="G2:J2"/>
    <mergeCell ref="G1:J1"/>
    <mergeCell ref="C31:E31"/>
    <mergeCell ref="C11:I11"/>
    <mergeCell ref="C15:I15"/>
    <mergeCell ref="C17:I17"/>
    <mergeCell ref="C19:I19"/>
    <mergeCell ref="C28:I28"/>
    <mergeCell ref="C58:I58"/>
    <mergeCell ref="C38:E38"/>
    <mergeCell ref="A6:I6"/>
    <mergeCell ref="A7:I7"/>
    <mergeCell ref="C8:E8"/>
    <mergeCell ref="C21:H21"/>
    <mergeCell ref="C36:I36"/>
    <mergeCell ref="C40:I40"/>
    <mergeCell ref="C42:I42"/>
    <mergeCell ref="C47:I47"/>
    <mergeCell ref="C49:I49"/>
    <mergeCell ref="C54:I54"/>
  </mergeCells>
  <phoneticPr fontId="4" type="noConversion"/>
  <hyperlinks>
    <hyperlink ref="A4" location="'תוכן הענינים'!A1" tooltip="לחץ להצגת גליון תוכן הענינים" display="הצג תוכן ענינים"/>
  </hyperlinks>
  <printOptions horizontalCentered="1"/>
  <pageMargins left="0" right="0" top="0.75" bottom="0.98425196850393704" header="0.25" footer="0.511811023622047"/>
  <pageSetup paperSize="9" scale="92" orientation="portrait" blackAndWhite="1" horizontalDpi="300" verticalDpi="300" r:id="rId1"/>
  <headerFooter alignWithMargins="0">
    <oddHeader>&amp;L&amp;8&amp;A</oddHeader>
    <oddFooter>&amp;L &amp;C&amp;8 &amp;P</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0">
    <pageSetUpPr autoPageBreaks="0"/>
  </sheetPr>
  <dimension ref="A1:K415"/>
  <sheetViews>
    <sheetView showZeros="0" rightToLeft="1" showOutlineSymbols="0" zoomScale="85" zoomScaleNormal="85" zoomScaleSheetLayoutView="75" workbookViewId="0"/>
  </sheetViews>
  <sheetFormatPr defaultColWidth="9.109375" defaultRowHeight="13.2"/>
  <cols>
    <col min="1" max="1" width="4" style="690" customWidth="1"/>
    <col min="2" max="2" width="50.5546875" style="690" customWidth="1"/>
    <col min="3" max="3" width="12.33203125" style="690" customWidth="1"/>
    <col min="4" max="4" width="6.44140625" style="743" customWidth="1"/>
    <col min="5" max="5" width="12.33203125" style="690" customWidth="1"/>
    <col min="6" max="6" width="2.88671875" style="690" customWidth="1"/>
    <col min="7" max="7" width="26.109375" style="751" customWidth="1"/>
    <col min="8" max="16384" width="9.109375" style="690"/>
  </cols>
  <sheetData>
    <row r="1" spans="1:8" ht="15.6">
      <c r="A1" s="691"/>
      <c r="B1" s="635"/>
      <c r="C1" s="3457" t="str">
        <f>'הגדרות כלליות'!D6</f>
        <v>עירית הרצליה</v>
      </c>
      <c r="D1" s="3394"/>
      <c r="E1" s="3394"/>
      <c r="F1" s="3394"/>
      <c r="G1" s="3394"/>
      <c r="H1" s="689"/>
    </row>
    <row r="2" spans="1:8" ht="15.6">
      <c r="A2" s="691"/>
      <c r="B2" s="635"/>
      <c r="C2" s="3394" t="s">
        <v>737</v>
      </c>
      <c r="D2" s="3394"/>
      <c r="E2" s="3394"/>
      <c r="F2" s="3394"/>
      <c r="G2" s="3394"/>
      <c r="H2" s="689"/>
    </row>
    <row r="3" spans="1:8" ht="15.6">
      <c r="A3" s="635"/>
      <c r="B3" s="635"/>
      <c r="C3" s="3394" t="s">
        <v>338</v>
      </c>
      <c r="D3" s="3394"/>
      <c r="E3" s="3394"/>
      <c r="F3" s="3394"/>
      <c r="G3" s="3394"/>
      <c r="H3" s="689"/>
    </row>
    <row r="4" spans="1:8" ht="19.5" customHeight="1">
      <c r="A4" s="638" t="s">
        <v>339</v>
      </c>
      <c r="B4" s="639"/>
      <c r="C4" s="639"/>
      <c r="D4" s="639"/>
      <c r="E4" s="639"/>
      <c r="F4" s="639"/>
      <c r="G4" s="639"/>
      <c r="H4" s="689"/>
    </row>
    <row r="5" spans="1:8" ht="21" customHeight="1">
      <c r="A5" s="692" t="s">
        <v>2206</v>
      </c>
      <c r="B5" s="693"/>
      <c r="C5" s="693"/>
      <c r="D5" s="694"/>
      <c r="E5" s="693"/>
      <c r="F5" s="693"/>
      <c r="G5" s="688"/>
      <c r="H5" s="689"/>
    </row>
    <row r="6" spans="1:8">
      <c r="A6" s="693"/>
      <c r="B6" s="693"/>
      <c r="C6" s="693"/>
      <c r="D6" s="694"/>
      <c r="E6" s="693"/>
      <c r="F6" s="693"/>
      <c r="G6" s="695"/>
      <c r="H6" s="689"/>
    </row>
    <row r="7" spans="1:8">
      <c r="A7" s="693"/>
      <c r="B7" s="693"/>
      <c r="C7" s="3483" t="s">
        <v>701</v>
      </c>
      <c r="D7" s="3484"/>
      <c r="E7" s="3485"/>
      <c r="F7" s="693"/>
      <c r="G7" s="695"/>
      <c r="H7" s="689"/>
    </row>
    <row r="8" spans="1:8">
      <c r="A8" s="693"/>
      <c r="B8" s="693"/>
      <c r="C8" s="2898">
        <f>'הגדרות כלליות'!D10</f>
        <v>2015</v>
      </c>
      <c r="D8" s="696"/>
      <c r="E8" s="2899">
        <f>'הגדרות כלליות'!D12</f>
        <v>2014</v>
      </c>
      <c r="F8" s="693"/>
      <c r="G8" s="695"/>
      <c r="H8" s="689"/>
    </row>
    <row r="9" spans="1:8">
      <c r="A9" s="3140" t="s">
        <v>486</v>
      </c>
      <c r="B9" s="698" t="s">
        <v>343</v>
      </c>
      <c r="C9" s="699"/>
      <c r="D9" s="700"/>
      <c r="E9" s="701"/>
      <c r="F9" s="693"/>
      <c r="G9" s="695"/>
      <c r="H9" s="689"/>
    </row>
    <row r="10" spans="1:8" ht="15" customHeight="1">
      <c r="A10" s="693"/>
      <c r="B10" s="702" t="s">
        <v>704</v>
      </c>
      <c r="C10" s="703">
        <v>669</v>
      </c>
      <c r="D10" s="700"/>
      <c r="E10" s="704">
        <v>1569</v>
      </c>
      <c r="F10" s="2986"/>
      <c r="G10" s="705"/>
      <c r="H10" s="689"/>
    </row>
    <row r="11" spans="1:8" ht="15" customHeight="1">
      <c r="A11" s="693"/>
      <c r="B11" s="702" t="s">
        <v>705</v>
      </c>
      <c r="C11" s="706">
        <v>241190</v>
      </c>
      <c r="D11" s="700"/>
      <c r="E11" s="707">
        <v>175489</v>
      </c>
      <c r="F11" s="2986"/>
      <c r="G11" s="705"/>
      <c r="H11" s="689"/>
    </row>
    <row r="12" spans="1:8" ht="15" customHeight="1">
      <c r="A12" s="693"/>
      <c r="B12" s="702" t="s">
        <v>2154</v>
      </c>
      <c r="C12" s="706"/>
      <c r="D12" s="700"/>
      <c r="E12" s="707"/>
      <c r="F12" s="2986"/>
      <c r="G12" s="705"/>
      <c r="H12" s="689"/>
    </row>
    <row r="13" spans="1:8" ht="15" customHeight="1">
      <c r="A13" s="693"/>
      <c r="B13" s="702" t="s">
        <v>350</v>
      </c>
      <c r="C13" s="708"/>
      <c r="D13" s="700"/>
      <c r="E13" s="709"/>
      <c r="F13" s="2986"/>
      <c r="G13" s="705"/>
      <c r="H13" s="689"/>
    </row>
    <row r="14" spans="1:8" ht="15" customHeight="1">
      <c r="A14" s="693"/>
      <c r="B14" s="702" t="s">
        <v>146</v>
      </c>
      <c r="C14" s="710">
        <f>SUM(C10:C13)</f>
        <v>241859</v>
      </c>
      <c r="D14" s="700"/>
      <c r="E14" s="711">
        <f>SUM(E10:E13)</f>
        <v>177058</v>
      </c>
      <c r="F14" s="2986"/>
      <c r="G14" s="695"/>
      <c r="H14" s="689"/>
    </row>
    <row r="15" spans="1:8" ht="15" customHeight="1">
      <c r="A15" s="693"/>
      <c r="B15" s="702" t="s">
        <v>706</v>
      </c>
      <c r="C15" s="706"/>
      <c r="D15" s="700"/>
      <c r="E15" s="707"/>
      <c r="F15" s="2986"/>
      <c r="G15" s="695"/>
      <c r="H15" s="689"/>
    </row>
    <row r="16" spans="1:8" ht="15" customHeight="1">
      <c r="A16" s="693"/>
      <c r="B16" s="702" t="s">
        <v>2152</v>
      </c>
      <c r="C16" s="2600"/>
      <c r="D16" s="700"/>
      <c r="E16" s="2601"/>
      <c r="F16" s="2986"/>
      <c r="G16" s="695"/>
      <c r="H16" s="689"/>
    </row>
    <row r="17" spans="1:8" ht="15" customHeight="1" thickBot="1">
      <c r="A17" s="693"/>
      <c r="B17" s="712"/>
      <c r="C17" s="713">
        <f>C14-C15-C16</f>
        <v>241859</v>
      </c>
      <c r="D17" s="700"/>
      <c r="E17" s="714">
        <f>E14-E15-E16</f>
        <v>177058</v>
      </c>
      <c r="F17" s="2986"/>
      <c r="G17" s="695"/>
      <c r="H17" s="689"/>
    </row>
    <row r="18" spans="1:8" ht="15.75" customHeight="1" thickTop="1">
      <c r="A18" s="3270" t="s">
        <v>629</v>
      </c>
      <c r="B18" s="715" t="s">
        <v>707</v>
      </c>
      <c r="C18" s="703">
        <v>230268</v>
      </c>
      <c r="D18" s="700"/>
      <c r="E18" s="704">
        <v>171346</v>
      </c>
      <c r="F18" s="722"/>
      <c r="G18" s="695"/>
      <c r="H18" s="689"/>
    </row>
    <row r="19" spans="1:8" ht="15" customHeight="1" thickBot="1">
      <c r="A19" s="3270"/>
      <c r="B19" s="715"/>
      <c r="C19" s="716"/>
      <c r="D19" s="700"/>
      <c r="E19" s="717"/>
      <c r="F19" s="2986"/>
      <c r="G19" s="705"/>
      <c r="H19" s="689"/>
    </row>
    <row r="20" spans="1:8" ht="15.75" customHeight="1" thickTop="1">
      <c r="A20" s="3270"/>
      <c r="B20" s="715"/>
      <c r="C20" s="718"/>
      <c r="D20" s="719"/>
      <c r="E20" s="720"/>
      <c r="F20" s="722"/>
      <c r="G20" s="695"/>
      <c r="H20" s="689"/>
    </row>
    <row r="21" spans="1:8" ht="15.75" customHeight="1">
      <c r="A21" s="3270"/>
      <c r="B21" s="715"/>
      <c r="C21" s="694"/>
      <c r="D21" s="700"/>
      <c r="E21" s="694"/>
      <c r="F21" s="693"/>
      <c r="G21" s="695"/>
      <c r="H21" s="689"/>
    </row>
    <row r="22" spans="1:8">
      <c r="A22" s="693"/>
      <c r="B22" s="715"/>
      <c r="C22" s="721"/>
      <c r="D22" s="700"/>
      <c r="E22" s="693"/>
      <c r="F22" s="693"/>
      <c r="G22" s="695"/>
      <c r="H22" s="689"/>
    </row>
    <row r="23" spans="1:8">
      <c r="A23" s="693"/>
      <c r="B23" s="715"/>
      <c r="C23" s="721"/>
      <c r="D23" s="722"/>
      <c r="E23" s="693"/>
      <c r="F23" s="693"/>
      <c r="G23" s="695"/>
      <c r="H23" s="689"/>
    </row>
    <row r="24" spans="1:8" ht="52.5" customHeight="1">
      <c r="A24" s="3318" t="s">
        <v>631</v>
      </c>
      <c r="B24" s="3490" t="s">
        <v>2195</v>
      </c>
      <c r="C24" s="3491"/>
      <c r="D24" s="3491"/>
      <c r="E24" s="3491"/>
      <c r="F24" s="3491"/>
      <c r="G24" s="3492"/>
      <c r="H24" s="689"/>
    </row>
    <row r="25" spans="1:8" ht="14.25" customHeight="1">
      <c r="A25" s="3270"/>
      <c r="B25" s="3295"/>
      <c r="C25" s="721"/>
      <c r="D25" s="722"/>
      <c r="E25" s="693"/>
      <c r="F25" s="693"/>
      <c r="G25" s="695"/>
      <c r="H25" s="689"/>
    </row>
    <row r="26" spans="1:8" ht="15.75" customHeight="1">
      <c r="A26" s="693"/>
      <c r="B26" s="3269"/>
      <c r="C26" s="721"/>
      <c r="D26" s="722"/>
      <c r="E26" s="693"/>
      <c r="F26" s="693"/>
      <c r="G26" s="695"/>
      <c r="H26" s="689"/>
    </row>
    <row r="27" spans="1:8" ht="21" customHeight="1">
      <c r="A27" s="693"/>
      <c r="B27" s="3269"/>
      <c r="C27" s="693"/>
      <c r="D27" s="694"/>
      <c r="E27" s="693"/>
      <c r="F27" s="693"/>
      <c r="G27" s="695"/>
      <c r="H27" s="689"/>
    </row>
    <row r="28" spans="1:8" ht="15.75" customHeight="1">
      <c r="A28" s="3138" t="s">
        <v>493</v>
      </c>
      <c r="B28" s="698" t="s">
        <v>345</v>
      </c>
      <c r="C28" s="2900">
        <f>'הגדרות כלליות'!$D$10</f>
        <v>2015</v>
      </c>
      <c r="D28" s="2731"/>
      <c r="E28" s="2900">
        <f>'הגדרות כלליות'!$D$12</f>
        <v>2014</v>
      </c>
      <c r="F28" s="693"/>
      <c r="G28" s="695"/>
      <c r="H28" s="689"/>
    </row>
    <row r="29" spans="1:8" ht="15" customHeight="1">
      <c r="A29" s="693"/>
      <c r="B29" s="715" t="s">
        <v>710</v>
      </c>
      <c r="C29" s="724">
        <v>224</v>
      </c>
      <c r="D29" s="725"/>
      <c r="E29" s="724">
        <v>2885</v>
      </c>
      <c r="F29" s="2987"/>
      <c r="G29" s="705"/>
      <c r="H29" s="689"/>
    </row>
    <row r="30" spans="1:8" ht="15" customHeight="1">
      <c r="A30" s="693"/>
      <c r="B30" s="715" t="s">
        <v>1422</v>
      </c>
      <c r="C30" s="726">
        <v>602</v>
      </c>
      <c r="D30" s="727"/>
      <c r="E30" s="726">
        <v>116</v>
      </c>
      <c r="F30" s="2987"/>
      <c r="G30" s="705"/>
      <c r="H30" s="689"/>
    </row>
    <row r="31" spans="1:8" ht="15" customHeight="1">
      <c r="A31" s="693"/>
      <c r="B31" s="715" t="s">
        <v>711</v>
      </c>
      <c r="C31" s="726">
        <v>228</v>
      </c>
      <c r="D31" s="727"/>
      <c r="E31" s="726"/>
      <c r="F31" s="2987"/>
      <c r="G31" s="705"/>
      <c r="H31" s="689"/>
    </row>
    <row r="32" spans="1:8" ht="15" customHeight="1">
      <c r="A32" s="693"/>
      <c r="B32" s="715" t="s">
        <v>712</v>
      </c>
      <c r="C32" s="726"/>
      <c r="D32" s="727"/>
      <c r="E32" s="726"/>
      <c r="F32" s="2987"/>
      <c r="G32" s="705"/>
      <c r="H32" s="689"/>
    </row>
    <row r="33" spans="1:8" ht="15" customHeight="1">
      <c r="A33" s="693"/>
      <c r="B33" s="715" t="s">
        <v>713</v>
      </c>
      <c r="C33" s="726"/>
      <c r="D33" s="727"/>
      <c r="E33" s="726"/>
      <c r="F33" s="2987"/>
      <c r="G33" s="705"/>
      <c r="H33" s="689"/>
    </row>
    <row r="34" spans="1:8" ht="15" customHeight="1">
      <c r="A34" s="693"/>
      <c r="B34" s="715" t="s">
        <v>714</v>
      </c>
      <c r="C34" s="726">
        <v>7</v>
      </c>
      <c r="D34" s="727"/>
      <c r="E34" s="726"/>
      <c r="F34" s="2987"/>
      <c r="G34" s="705"/>
      <c r="H34" s="689"/>
    </row>
    <row r="35" spans="1:8" ht="15" customHeight="1">
      <c r="A35" s="693"/>
      <c r="B35" s="3288" t="s">
        <v>2232</v>
      </c>
      <c r="C35" s="726"/>
      <c r="D35" s="727"/>
      <c r="E35" s="726">
        <v>100</v>
      </c>
      <c r="F35" s="2987"/>
      <c r="G35" s="705"/>
      <c r="H35" s="689"/>
    </row>
    <row r="36" spans="1:8" ht="15" customHeight="1">
      <c r="A36" s="693"/>
      <c r="B36" s="3288" t="s">
        <v>2233</v>
      </c>
      <c r="C36" s="726">
        <v>38</v>
      </c>
      <c r="D36" s="727"/>
      <c r="E36" s="726">
        <v>412</v>
      </c>
      <c r="F36" s="2987"/>
      <c r="G36" s="705"/>
      <c r="H36" s="689"/>
    </row>
    <row r="37" spans="1:8" ht="15" customHeight="1">
      <c r="A37" s="693"/>
      <c r="B37" s="3288" t="s">
        <v>2234</v>
      </c>
      <c r="C37" s="726"/>
      <c r="D37" s="727"/>
      <c r="E37" s="726">
        <v>2</v>
      </c>
      <c r="F37" s="2987"/>
      <c r="G37" s="705"/>
      <c r="H37" s="689"/>
    </row>
    <row r="38" spans="1:8" ht="15" customHeight="1">
      <c r="A38" s="693"/>
      <c r="B38" s="715" t="s">
        <v>313</v>
      </c>
      <c r="C38" s="728">
        <v>10206</v>
      </c>
      <c r="D38" s="727"/>
      <c r="E38" s="728">
        <v>7635</v>
      </c>
      <c r="F38" s="2987"/>
      <c r="G38" s="705"/>
      <c r="H38" s="689"/>
    </row>
    <row r="39" spans="1:8" ht="15" customHeight="1" thickBot="1">
      <c r="A39" s="693"/>
      <c r="B39" s="693"/>
      <c r="C39" s="729">
        <f>SUM(C29:C38)</f>
        <v>11305</v>
      </c>
      <c r="D39" s="730"/>
      <c r="E39" s="729">
        <f>SUM(E29:E38)</f>
        <v>11150</v>
      </c>
      <c r="F39" s="2987"/>
      <c r="G39" s="695"/>
      <c r="H39" s="689"/>
    </row>
    <row r="40" spans="1:8" ht="15.75" customHeight="1" thickTop="1">
      <c r="A40" s="693"/>
      <c r="B40" s="693"/>
      <c r="C40" s="693"/>
      <c r="D40" s="693"/>
      <c r="E40" s="693"/>
      <c r="F40" s="693"/>
      <c r="G40" s="695"/>
      <c r="H40" s="689"/>
    </row>
    <row r="41" spans="1:8" ht="15" customHeight="1">
      <c r="A41" s="3138" t="s">
        <v>564</v>
      </c>
      <c r="B41" s="692" t="str">
        <f>'טופס 1 אקטיב'!B9</f>
        <v>חייבים - תשלומים לא מתוקצבים</v>
      </c>
      <c r="C41" s="2901">
        <f>'הגדרות כלליות'!$D$10</f>
        <v>2015</v>
      </c>
      <c r="D41" s="2732"/>
      <c r="E41" s="2901">
        <f>'הגדרות כלליות'!$D$12</f>
        <v>2014</v>
      </c>
      <c r="F41" s="693"/>
      <c r="G41" s="695"/>
      <c r="H41" s="689"/>
    </row>
    <row r="42" spans="1:8" ht="15" customHeight="1">
      <c r="A42" s="723"/>
      <c r="B42" s="3288" t="s">
        <v>2235</v>
      </c>
      <c r="C42" s="731">
        <v>117</v>
      </c>
      <c r="D42" s="725"/>
      <c r="E42" s="731">
        <v>197</v>
      </c>
      <c r="F42" s="2987"/>
      <c r="G42" s="695"/>
      <c r="H42" s="689"/>
    </row>
    <row r="43" spans="1:8" ht="15" customHeight="1">
      <c r="A43" s="723"/>
      <c r="B43" s="3288" t="s">
        <v>715</v>
      </c>
      <c r="C43" s="732">
        <v>914</v>
      </c>
      <c r="D43" s="727"/>
      <c r="E43" s="732">
        <v>76</v>
      </c>
      <c r="F43" s="2987"/>
      <c r="G43" s="695"/>
      <c r="H43" s="689"/>
    </row>
    <row r="44" spans="1:8" ht="15" customHeight="1">
      <c r="A44" s="723"/>
      <c r="B44" s="3288" t="s">
        <v>2236</v>
      </c>
      <c r="C44" s="732">
        <v>7</v>
      </c>
      <c r="D44" s="727"/>
      <c r="E44" s="732">
        <v>20</v>
      </c>
      <c r="F44" s="2987"/>
      <c r="G44" s="695"/>
      <c r="H44" s="689"/>
    </row>
    <row r="45" spans="1:8" ht="15" customHeight="1">
      <c r="A45" s="723"/>
      <c r="B45" s="715" t="s">
        <v>350</v>
      </c>
      <c r="C45" s="732"/>
      <c r="D45" s="727"/>
      <c r="E45" s="732"/>
      <c r="F45" s="2987"/>
      <c r="G45" s="695"/>
      <c r="H45" s="689"/>
    </row>
    <row r="46" spans="1:8" ht="15" customHeight="1">
      <c r="A46" s="693"/>
      <c r="B46" s="715" t="s">
        <v>350</v>
      </c>
      <c r="C46" s="733"/>
      <c r="D46" s="727"/>
      <c r="E46" s="733"/>
      <c r="F46" s="2987"/>
      <c r="G46" s="695"/>
      <c r="H46" s="689"/>
    </row>
    <row r="47" spans="1:8" ht="15" customHeight="1" thickBot="1">
      <c r="A47" s="693"/>
      <c r="B47" s="693"/>
      <c r="C47" s="729">
        <f>SUM(C42:C46)</f>
        <v>1038</v>
      </c>
      <c r="D47" s="730"/>
      <c r="E47" s="729">
        <f>SUM(E42:E46)</f>
        <v>293</v>
      </c>
      <c r="F47" s="2987"/>
      <c r="G47" s="695"/>
      <c r="H47" s="689"/>
    </row>
    <row r="48" spans="1:8" ht="15.75" customHeight="1" thickTop="1">
      <c r="A48" s="693"/>
      <c r="B48" s="693"/>
      <c r="C48" s="695"/>
      <c r="D48" s="695"/>
      <c r="E48" s="695"/>
      <c r="F48" s="695"/>
      <c r="G48" s="695"/>
      <c r="H48" s="689"/>
    </row>
    <row r="49" spans="1:8" ht="15.75" customHeight="1">
      <c r="A49" s="3138" t="s">
        <v>579</v>
      </c>
      <c r="B49" s="692" t="s">
        <v>53</v>
      </c>
      <c r="C49" s="695"/>
      <c r="D49" s="695"/>
      <c r="E49" s="695"/>
      <c r="F49" s="695"/>
      <c r="G49" s="695"/>
      <c r="H49" s="689"/>
    </row>
    <row r="50" spans="1:8" ht="15.75" customHeight="1">
      <c r="A50" s="693"/>
      <c r="B50" s="697" t="s">
        <v>2119</v>
      </c>
      <c r="C50" s="2902">
        <f>'הגדרות כלליות'!$D$10</f>
        <v>2015</v>
      </c>
      <c r="D50" s="2733"/>
      <c r="E50" s="2902">
        <f>'הגדרות כלליות'!$D$12</f>
        <v>2014</v>
      </c>
      <c r="F50" s="693"/>
      <c r="G50" s="695"/>
      <c r="H50" s="689"/>
    </row>
    <row r="51" spans="1:8" ht="15.75" customHeight="1">
      <c r="A51" s="693"/>
      <c r="B51" s="693" t="s">
        <v>815</v>
      </c>
      <c r="C51" s="3280">
        <f>E55</f>
        <v>7188</v>
      </c>
      <c r="D51" s="736"/>
      <c r="E51" s="732">
        <v>6301</v>
      </c>
      <c r="F51" s="2987"/>
      <c r="G51" s="695"/>
      <c r="H51" s="689"/>
    </row>
    <row r="52" spans="1:8" ht="15.75" customHeight="1">
      <c r="A52" s="693"/>
      <c r="B52" s="693" t="s">
        <v>1520</v>
      </c>
      <c r="C52" s="726">
        <v>797</v>
      </c>
      <c r="D52" s="736"/>
      <c r="E52" s="726">
        <v>970</v>
      </c>
      <c r="F52" s="2987"/>
      <c r="G52" s="695"/>
      <c r="H52" s="689"/>
    </row>
    <row r="53" spans="1:8" ht="15.75" customHeight="1">
      <c r="A53" s="693"/>
      <c r="B53" s="693" t="s">
        <v>1521</v>
      </c>
      <c r="C53" s="726">
        <v>-619</v>
      </c>
      <c r="D53" s="736"/>
      <c r="E53" s="726">
        <v>-342</v>
      </c>
      <c r="F53" s="2987"/>
      <c r="G53" s="695"/>
      <c r="H53" s="689"/>
    </row>
    <row r="54" spans="1:8" ht="15.75" customHeight="1">
      <c r="A54" s="693"/>
      <c r="B54" s="693" t="s">
        <v>1519</v>
      </c>
      <c r="C54" s="728">
        <v>89</v>
      </c>
      <c r="D54" s="736"/>
      <c r="E54" s="728">
        <v>259</v>
      </c>
      <c r="F54" s="2987"/>
      <c r="G54" s="695"/>
      <c r="H54" s="689"/>
    </row>
    <row r="55" spans="1:8" ht="15.75" customHeight="1">
      <c r="A55" s="693"/>
      <c r="B55" s="693" t="s">
        <v>771</v>
      </c>
      <c r="C55" s="737">
        <f>ROUND(SUM(C51:C54),0)</f>
        <v>7455</v>
      </c>
      <c r="D55" s="736"/>
      <c r="E55" s="737">
        <f>ROUND(SUM(E51:E54),0)</f>
        <v>7188</v>
      </c>
      <c r="F55" s="2987"/>
      <c r="G55" s="695"/>
      <c r="H55" s="689"/>
    </row>
    <row r="56" spans="1:8" ht="15.75" customHeight="1">
      <c r="A56" s="693"/>
      <c r="B56" s="697" t="s">
        <v>716</v>
      </c>
      <c r="C56" s="705"/>
      <c r="D56" s="736"/>
      <c r="E56" s="705"/>
      <c r="F56" s="695"/>
      <c r="G56" s="695"/>
      <c r="H56" s="689"/>
    </row>
    <row r="57" spans="1:8" ht="15.75" customHeight="1">
      <c r="A57" s="693"/>
      <c r="B57" s="3288" t="s">
        <v>2237</v>
      </c>
      <c r="C57" s="726">
        <v>978</v>
      </c>
      <c r="D57" s="736"/>
      <c r="E57" s="726">
        <v>975</v>
      </c>
      <c r="F57" s="2987"/>
      <c r="G57" s="695"/>
      <c r="H57" s="689"/>
    </row>
    <row r="58" spans="1:8" ht="15.75" customHeight="1">
      <c r="A58" s="693"/>
      <c r="B58" s="3288" t="s">
        <v>2238</v>
      </c>
      <c r="C58" s="726">
        <v>384</v>
      </c>
      <c r="D58" s="736"/>
      <c r="E58" s="726">
        <v>331</v>
      </c>
      <c r="F58" s="2987"/>
      <c r="G58" s="695"/>
      <c r="H58" s="689"/>
    </row>
    <row r="59" spans="1:8" ht="15.75" customHeight="1">
      <c r="A59" s="693"/>
      <c r="B59" s="715" t="s">
        <v>350</v>
      </c>
      <c r="C59" s="726"/>
      <c r="D59" s="736"/>
      <c r="E59" s="726"/>
      <c r="F59" s="2987"/>
      <c r="G59" s="695"/>
      <c r="H59" s="689"/>
    </row>
    <row r="60" spans="1:8" ht="15.75" customHeight="1">
      <c r="A60" s="693"/>
      <c r="B60" s="693"/>
      <c r="C60" s="737">
        <f>ROUND(SUM(C57:C59),0)</f>
        <v>1362</v>
      </c>
      <c r="D60" s="695"/>
      <c r="E60" s="737">
        <f>ROUND(SUM(E57:E59),0)</f>
        <v>1306</v>
      </c>
      <c r="F60" s="2987"/>
      <c r="G60" s="695"/>
      <c r="H60" s="689"/>
    </row>
    <row r="61" spans="1:8" ht="15.75" customHeight="1">
      <c r="A61" s="693"/>
      <c r="B61" s="693"/>
      <c r="C61" s="695"/>
      <c r="D61" s="695"/>
      <c r="E61" s="695"/>
      <c r="F61" s="695"/>
      <c r="G61" s="695"/>
      <c r="H61" s="689"/>
    </row>
    <row r="62" spans="1:8" ht="15.75" customHeight="1" thickBot="1">
      <c r="A62" s="693"/>
      <c r="B62" s="670" t="s">
        <v>1515</v>
      </c>
      <c r="C62" s="738">
        <f>C55+C60</f>
        <v>8817</v>
      </c>
      <c r="D62" s="739"/>
      <c r="E62" s="738">
        <f>E55+E60</f>
        <v>8494</v>
      </c>
      <c r="F62" s="2987"/>
      <c r="G62" s="695"/>
      <c r="H62" s="689"/>
    </row>
    <row r="63" spans="1:8" ht="15.75" customHeight="1" thickTop="1">
      <c r="A63" s="644"/>
      <c r="B63" s="644"/>
      <c r="C63" s="734"/>
      <c r="D63" s="734"/>
      <c r="E63" s="734"/>
      <c r="F63" s="2988"/>
      <c r="G63" s="734"/>
      <c r="H63" s="689"/>
    </row>
    <row r="64" spans="1:8" ht="15.75" customHeight="1">
      <c r="A64" s="3139" t="s">
        <v>585</v>
      </c>
      <c r="B64" s="735" t="s">
        <v>54</v>
      </c>
      <c r="C64" s="736"/>
      <c r="D64" s="736"/>
      <c r="E64" s="736"/>
      <c r="F64" s="736"/>
      <c r="G64" s="736"/>
      <c r="H64" s="689"/>
    </row>
    <row r="65" spans="1:8" ht="15" customHeight="1">
      <c r="A65" s="693"/>
      <c r="B65" s="697" t="s">
        <v>715</v>
      </c>
      <c r="C65" s="2902">
        <f>'הגדרות כלליות'!$D$10</f>
        <v>2015</v>
      </c>
      <c r="D65" s="2733"/>
      <c r="E65" s="2902">
        <f>'הגדרות כלליות'!$D$12</f>
        <v>2014</v>
      </c>
      <c r="F65" s="693"/>
      <c r="G65" s="736"/>
      <c r="H65" s="689"/>
    </row>
    <row r="66" spans="1:8" ht="15" customHeight="1">
      <c r="A66" s="693"/>
      <c r="B66" s="3288" t="s">
        <v>2239</v>
      </c>
      <c r="C66" s="726">
        <v>29410</v>
      </c>
      <c r="D66" s="736"/>
      <c r="E66" s="732">
        <v>29410</v>
      </c>
      <c r="F66" s="2987"/>
      <c r="G66" s="695"/>
      <c r="H66" s="689"/>
    </row>
    <row r="67" spans="1:8" ht="15" customHeight="1">
      <c r="A67" s="693"/>
      <c r="B67" s="3288" t="s">
        <v>2240</v>
      </c>
      <c r="C67" s="726">
        <v>2053</v>
      </c>
      <c r="D67" s="736"/>
      <c r="E67" s="726">
        <v>2053</v>
      </c>
      <c r="F67" s="2987"/>
      <c r="G67" s="705"/>
      <c r="H67" s="689"/>
    </row>
    <row r="68" spans="1:8" ht="15" customHeight="1">
      <c r="A68" s="693"/>
      <c r="B68" s="3288" t="s">
        <v>2450</v>
      </c>
      <c r="C68" s="726">
        <v>136959</v>
      </c>
      <c r="D68" s="736"/>
      <c r="E68" s="726">
        <v>136959</v>
      </c>
      <c r="F68" s="2987"/>
      <c r="G68" s="705"/>
      <c r="H68" s="689"/>
    </row>
    <row r="69" spans="1:8" ht="15" customHeight="1">
      <c r="A69" s="693"/>
      <c r="B69" s="3288" t="s">
        <v>2241</v>
      </c>
      <c r="C69" s="726">
        <v>11173</v>
      </c>
      <c r="D69" s="736"/>
      <c r="E69" s="726">
        <v>11173</v>
      </c>
      <c r="F69" s="2987"/>
      <c r="G69" s="705"/>
      <c r="H69" s="689"/>
    </row>
    <row r="70" spans="1:8" ht="15" customHeight="1">
      <c r="A70" s="693"/>
      <c r="B70" s="3288" t="s">
        <v>2242</v>
      </c>
      <c r="C70" s="728">
        <v>156</v>
      </c>
      <c r="D70" s="736"/>
      <c r="E70" s="728">
        <v>155</v>
      </c>
      <c r="F70" s="2987"/>
      <c r="G70" s="705"/>
      <c r="H70" s="689"/>
    </row>
    <row r="71" spans="1:8" ht="15" customHeight="1">
      <c r="A71" s="693"/>
      <c r="B71" s="645"/>
      <c r="C71" s="737">
        <f>ROUND(SUM(C66:C70),0)</f>
        <v>179751</v>
      </c>
      <c r="D71" s="736"/>
      <c r="E71" s="737">
        <f>ROUND(SUM(E66:E70),0)</f>
        <v>179750</v>
      </c>
      <c r="F71" s="2987"/>
      <c r="G71" s="705"/>
      <c r="H71" s="689"/>
    </row>
    <row r="72" spans="1:8">
      <c r="A72" s="693"/>
      <c r="B72" s="697" t="s">
        <v>716</v>
      </c>
      <c r="C72" s="705"/>
      <c r="D72" s="736"/>
      <c r="E72" s="705"/>
      <c r="F72" s="705"/>
      <c r="G72" s="705"/>
      <c r="H72" s="689"/>
    </row>
    <row r="73" spans="1:8" ht="15" customHeight="1">
      <c r="A73" s="693"/>
      <c r="B73" s="3288" t="s">
        <v>2243</v>
      </c>
      <c r="C73" s="726">
        <v>162</v>
      </c>
      <c r="D73" s="736"/>
      <c r="E73" s="726">
        <v>162</v>
      </c>
      <c r="F73" s="2987"/>
      <c r="G73" s="705"/>
      <c r="H73" s="689"/>
    </row>
    <row r="74" spans="1:8" ht="15" customHeight="1">
      <c r="A74" s="693"/>
      <c r="B74" s="3288" t="s">
        <v>2244</v>
      </c>
      <c r="C74" s="726">
        <v>355</v>
      </c>
      <c r="D74" s="736"/>
      <c r="E74" s="726">
        <v>307</v>
      </c>
      <c r="F74" s="2987"/>
      <c r="G74" s="705"/>
      <c r="H74" s="689"/>
    </row>
    <row r="75" spans="1:8" ht="15" customHeight="1">
      <c r="A75" s="693" t="s">
        <v>360</v>
      </c>
      <c r="B75" s="3288" t="s">
        <v>2245</v>
      </c>
      <c r="C75" s="726">
        <v>118</v>
      </c>
      <c r="D75" s="736"/>
      <c r="E75" s="726">
        <v>84</v>
      </c>
      <c r="F75" s="2987"/>
      <c r="G75" s="705"/>
      <c r="H75" s="689"/>
    </row>
    <row r="76" spans="1:8" ht="15" customHeight="1">
      <c r="A76" s="693"/>
      <c r="B76" s="3288" t="s">
        <v>2246</v>
      </c>
      <c r="C76" s="726">
        <v>524</v>
      </c>
      <c r="D76" s="736"/>
      <c r="E76" s="726">
        <v>442</v>
      </c>
      <c r="F76" s="2987"/>
      <c r="G76" s="705"/>
      <c r="H76" s="689"/>
    </row>
    <row r="77" spans="1:8" ht="15" customHeight="1">
      <c r="A77" s="693"/>
      <c r="B77" s="715" t="s">
        <v>350</v>
      </c>
      <c r="C77" s="728"/>
      <c r="D77" s="736"/>
      <c r="E77" s="728"/>
      <c r="F77" s="2987"/>
      <c r="G77" s="705"/>
      <c r="H77" s="689"/>
    </row>
    <row r="78" spans="1:8" ht="15" customHeight="1">
      <c r="A78" s="693"/>
      <c r="B78" s="693"/>
      <c r="C78" s="737">
        <f>SUM(C73:C77)</f>
        <v>1159</v>
      </c>
      <c r="D78" s="736"/>
      <c r="E78" s="737">
        <f>SUM(E73:E77)</f>
        <v>995</v>
      </c>
      <c r="F78" s="2987"/>
      <c r="G78" s="695"/>
      <c r="H78" s="689"/>
    </row>
    <row r="79" spans="1:8" ht="15.75" customHeight="1">
      <c r="A79" s="693"/>
      <c r="B79" s="693"/>
      <c r="C79" s="695"/>
      <c r="D79" s="736"/>
      <c r="E79" s="695"/>
      <c r="F79" s="695"/>
      <c r="G79" s="695"/>
      <c r="H79" s="689"/>
    </row>
    <row r="80" spans="1:8" ht="15.75" customHeight="1" thickBot="1">
      <c r="A80" s="693"/>
      <c r="B80" s="670" t="s">
        <v>56</v>
      </c>
      <c r="C80" s="738">
        <f>C71+C78</f>
        <v>180910</v>
      </c>
      <c r="D80" s="739"/>
      <c r="E80" s="738">
        <f>E71+E78</f>
        <v>180745</v>
      </c>
      <c r="F80" s="2987"/>
      <c r="G80" s="695"/>
      <c r="H80" s="689"/>
    </row>
    <row r="81" spans="1:8" ht="15.75" customHeight="1" thickTop="1">
      <c r="A81" s="693"/>
      <c r="B81" s="693"/>
      <c r="C81" s="695"/>
      <c r="D81" s="736"/>
      <c r="E81" s="695"/>
      <c r="F81" s="695"/>
      <c r="G81" s="695"/>
      <c r="H81" s="689"/>
    </row>
    <row r="82" spans="1:8" ht="15.75" customHeight="1">
      <c r="A82" s="3140" t="s">
        <v>671</v>
      </c>
      <c r="B82" s="692" t="s">
        <v>717</v>
      </c>
      <c r="C82" s="2902">
        <f>'הגדרות כלליות'!$D$10</f>
        <v>2015</v>
      </c>
      <c r="D82" s="736"/>
      <c r="E82" s="2902">
        <f>'הגדרות כלליות'!$D$12</f>
        <v>2014</v>
      </c>
      <c r="F82" s="695"/>
      <c r="G82" s="695"/>
      <c r="H82" s="689"/>
    </row>
    <row r="83" spans="1:8" ht="15" customHeight="1">
      <c r="A83" s="693"/>
      <c r="B83" s="715" t="s">
        <v>145</v>
      </c>
      <c r="C83" s="726">
        <v>8</v>
      </c>
      <c r="D83" s="739"/>
      <c r="E83" s="726">
        <v>41</v>
      </c>
      <c r="F83" s="2987"/>
      <c r="G83" s="705"/>
      <c r="H83" s="740"/>
    </row>
    <row r="84" spans="1:8" ht="15" customHeight="1">
      <c r="A84" s="693"/>
      <c r="B84" s="715" t="s">
        <v>350</v>
      </c>
      <c r="C84" s="726"/>
      <c r="D84" s="739"/>
      <c r="E84" s="726"/>
      <c r="F84" s="2987"/>
      <c r="G84" s="705"/>
      <c r="H84" s="740"/>
    </row>
    <row r="85" spans="1:8" ht="15" customHeight="1">
      <c r="A85" s="693"/>
      <c r="B85" s="715" t="s">
        <v>350</v>
      </c>
      <c r="C85" s="728"/>
      <c r="D85" s="739"/>
      <c r="E85" s="728"/>
      <c r="F85" s="2987"/>
      <c r="G85" s="705"/>
      <c r="H85" s="740"/>
    </row>
    <row r="86" spans="1:8" ht="15" customHeight="1" thickBot="1">
      <c r="A86" s="693"/>
      <c r="B86" s="693"/>
      <c r="C86" s="741">
        <f>SUM(C83:C85)</f>
        <v>8</v>
      </c>
      <c r="D86" s="739"/>
      <c r="E86" s="741">
        <f>SUM(E83:E85)</f>
        <v>41</v>
      </c>
      <c r="F86" s="2987"/>
      <c r="G86" s="705"/>
      <c r="H86" s="637"/>
    </row>
    <row r="87" spans="1:8" ht="13.8" thickTop="1">
      <c r="A87" s="693"/>
      <c r="B87" s="693"/>
      <c r="C87" s="742"/>
      <c r="D87" s="739"/>
      <c r="E87" s="742"/>
      <c r="F87" s="695"/>
      <c r="G87" s="695"/>
      <c r="H87" s="689"/>
    </row>
    <row r="88" spans="1:8">
      <c r="A88" s="3140" t="s">
        <v>673</v>
      </c>
      <c r="B88" s="692" t="s">
        <v>372</v>
      </c>
      <c r="C88" s="742"/>
      <c r="D88" s="739"/>
      <c r="E88" s="742"/>
      <c r="F88" s="695"/>
      <c r="G88" s="695"/>
      <c r="H88" s="637"/>
    </row>
    <row r="89" spans="1:8">
      <c r="A89" s="693"/>
      <c r="B89" s="693"/>
      <c r="C89" s="2903">
        <f>'הגדרות כלליות'!$D$10</f>
        <v>2015</v>
      </c>
      <c r="D89" s="2734"/>
      <c r="E89" s="2903">
        <f>'הגדרות כלליות'!$D$12</f>
        <v>2014</v>
      </c>
      <c r="F89" s="693"/>
      <c r="G89" s="695"/>
      <c r="H89" s="637" t="s">
        <v>360</v>
      </c>
    </row>
    <row r="90" spans="1:8" ht="15" customHeight="1">
      <c r="A90" s="693"/>
      <c r="B90" s="715" t="s">
        <v>718</v>
      </c>
      <c r="C90" s="732">
        <v>64818</v>
      </c>
      <c r="D90" s="739"/>
      <c r="E90" s="732">
        <v>66508</v>
      </c>
      <c r="F90" s="2987"/>
      <c r="G90" s="695"/>
      <c r="H90" s="637"/>
    </row>
    <row r="91" spans="1:8" ht="15" customHeight="1">
      <c r="A91" s="693"/>
      <c r="B91" s="715" t="s">
        <v>719</v>
      </c>
      <c r="C91" s="732">
        <v>16120</v>
      </c>
      <c r="D91" s="739"/>
      <c r="E91" s="732">
        <f>18134-3830</f>
        <v>14304</v>
      </c>
      <c r="F91" s="2987"/>
      <c r="G91" s="695"/>
      <c r="H91" s="637"/>
    </row>
    <row r="92" spans="1:8" ht="15" customHeight="1">
      <c r="A92" s="693"/>
      <c r="B92" s="715" t="s">
        <v>720</v>
      </c>
      <c r="C92" s="732">
        <v>50178</v>
      </c>
      <c r="D92" s="739"/>
      <c r="E92" s="732">
        <f>42073+3830</f>
        <v>45903</v>
      </c>
      <c r="F92" s="2987"/>
      <c r="G92" s="695"/>
      <c r="H92" s="637"/>
    </row>
    <row r="93" spans="1:8" s="743" customFormat="1" ht="15" customHeight="1">
      <c r="A93" s="693"/>
      <c r="B93" s="715" t="s">
        <v>1140</v>
      </c>
      <c r="C93" s="726"/>
      <c r="D93" s="739"/>
      <c r="E93" s="726"/>
      <c r="F93" s="2987"/>
      <c r="G93" s="705"/>
      <c r="H93" s="637"/>
    </row>
    <row r="94" spans="1:8" s="743" customFormat="1" ht="15" customHeight="1">
      <c r="A94" s="693"/>
      <c r="B94" s="3288" t="s">
        <v>2558</v>
      </c>
      <c r="C94" s="726">
        <v>73294</v>
      </c>
      <c r="D94" s="739"/>
      <c r="E94" s="726">
        <v>68505</v>
      </c>
      <c r="F94" s="2987"/>
      <c r="G94" s="705"/>
      <c r="H94" s="637"/>
    </row>
    <row r="95" spans="1:8" s="743" customFormat="1" ht="15" customHeight="1">
      <c r="A95" s="693"/>
      <c r="B95" s="3288" t="s">
        <v>715</v>
      </c>
      <c r="C95" s="726">
        <v>19011</v>
      </c>
      <c r="D95" s="739"/>
      <c r="E95" s="726">
        <v>15161</v>
      </c>
      <c r="F95" s="2987"/>
      <c r="G95" s="705"/>
      <c r="H95" s="637"/>
    </row>
    <row r="96" spans="1:8" ht="15" customHeight="1">
      <c r="A96" s="693"/>
      <c r="B96" s="3288" t="s">
        <v>2247</v>
      </c>
      <c r="C96" s="726">
        <v>1034</v>
      </c>
      <c r="D96" s="739"/>
      <c r="E96" s="726">
        <v>610</v>
      </c>
      <c r="F96" s="2987"/>
      <c r="G96" s="705"/>
      <c r="H96" s="637"/>
    </row>
    <row r="97" spans="1:8" ht="15" customHeight="1">
      <c r="A97" s="693"/>
      <c r="B97" s="715" t="s">
        <v>350</v>
      </c>
      <c r="C97" s="728"/>
      <c r="D97" s="739"/>
      <c r="E97" s="726"/>
      <c r="F97" s="2987"/>
      <c r="G97" s="705"/>
      <c r="H97" s="637"/>
    </row>
    <row r="98" spans="1:8" ht="15" customHeight="1" thickBot="1">
      <c r="A98" s="693"/>
      <c r="B98" s="693"/>
      <c r="C98" s="729">
        <f>SUM(C90:C97)</f>
        <v>224455</v>
      </c>
      <c r="D98" s="739"/>
      <c r="E98" s="729">
        <f>SUM(E90:E97)</f>
        <v>210991</v>
      </c>
      <c r="F98" s="2987" t="s">
        <v>360</v>
      </c>
      <c r="G98" s="695"/>
      <c r="H98" s="637"/>
    </row>
    <row r="99" spans="1:8" ht="13.8" thickTop="1">
      <c r="A99" s="693"/>
      <c r="B99" s="693"/>
      <c r="C99" s="742"/>
      <c r="D99" s="739"/>
      <c r="E99" s="742"/>
      <c r="F99" s="695"/>
      <c r="G99" s="695"/>
      <c r="H99" s="637"/>
    </row>
    <row r="100" spans="1:8">
      <c r="A100" s="3140" t="s">
        <v>679</v>
      </c>
      <c r="B100" s="692" t="s">
        <v>374</v>
      </c>
      <c r="C100" s="2903">
        <f>'הגדרות כלליות'!$D$10</f>
        <v>2015</v>
      </c>
      <c r="D100" s="739"/>
      <c r="E100" s="2903">
        <f>'הגדרות כלליות'!$D$12</f>
        <v>2014</v>
      </c>
      <c r="F100" s="695"/>
      <c r="G100" s="695"/>
      <c r="H100" s="637"/>
    </row>
    <row r="101" spans="1:8" ht="15" customHeight="1">
      <c r="A101" s="693"/>
      <c r="B101" s="715" t="s">
        <v>721</v>
      </c>
      <c r="C101" s="732"/>
      <c r="D101" s="739"/>
      <c r="E101" s="732"/>
      <c r="F101" s="2987"/>
      <c r="G101" s="695"/>
      <c r="H101" s="637"/>
    </row>
    <row r="102" spans="1:8" ht="15" customHeight="1">
      <c r="A102" s="693"/>
      <c r="B102" s="3288" t="s">
        <v>2570</v>
      </c>
      <c r="C102" s="732">
        <v>1188</v>
      </c>
      <c r="D102" s="739"/>
      <c r="E102" s="732">
        <v>93</v>
      </c>
      <c r="F102" s="2987"/>
      <c r="G102" s="695"/>
      <c r="H102" s="637"/>
    </row>
    <row r="103" spans="1:8" ht="15" customHeight="1">
      <c r="A103" s="693"/>
      <c r="B103" s="3288" t="s">
        <v>2248</v>
      </c>
      <c r="C103" s="733">
        <v>817</v>
      </c>
      <c r="D103" s="739"/>
      <c r="E103" s="733">
        <v>851</v>
      </c>
      <c r="F103" s="2987"/>
      <c r="G103" s="695"/>
      <c r="H103" s="637"/>
    </row>
    <row r="104" spans="1:8" ht="15" customHeight="1">
      <c r="A104" s="693"/>
      <c r="B104" s="3288" t="s">
        <v>2249</v>
      </c>
      <c r="C104" s="733">
        <v>1856</v>
      </c>
      <c r="D104" s="739"/>
      <c r="E104" s="733">
        <v>1587</v>
      </c>
      <c r="F104" s="2987"/>
      <c r="G104" s="695"/>
      <c r="H104" s="637"/>
    </row>
    <row r="105" spans="1:8" ht="15" customHeight="1">
      <c r="A105" s="693"/>
      <c r="B105" s="3288" t="s">
        <v>2250</v>
      </c>
      <c r="C105" s="733">
        <v>4</v>
      </c>
      <c r="D105" s="739"/>
      <c r="E105" s="733">
        <v>4</v>
      </c>
      <c r="F105" s="2987"/>
      <c r="G105" s="695"/>
      <c r="H105" s="637"/>
    </row>
    <row r="106" spans="1:8" ht="15" customHeight="1">
      <c r="A106" s="693"/>
      <c r="B106" s="3288" t="s">
        <v>2251</v>
      </c>
      <c r="C106" s="733">
        <v>4409</v>
      </c>
      <c r="D106" s="739"/>
      <c r="E106" s="733">
        <v>3864</v>
      </c>
      <c r="F106" s="2987"/>
      <c r="G106" s="695"/>
      <c r="H106" s="637"/>
    </row>
    <row r="107" spans="1:8" ht="15" customHeight="1">
      <c r="A107" s="693"/>
      <c r="B107" s="3288" t="s">
        <v>2252</v>
      </c>
      <c r="C107" s="733">
        <v>1957</v>
      </c>
      <c r="D107" s="739"/>
      <c r="E107" s="733">
        <v>1017</v>
      </c>
      <c r="F107" s="2987"/>
      <c r="G107" s="695"/>
      <c r="H107" s="637"/>
    </row>
    <row r="108" spans="1:8" ht="15" customHeight="1" thickBot="1">
      <c r="A108" s="693"/>
      <c r="B108" s="693"/>
      <c r="C108" s="744">
        <f>SUM(C101:C107)</f>
        <v>10231</v>
      </c>
      <c r="D108" s="739"/>
      <c r="E108" s="744">
        <f>SUM(E101:E107)</f>
        <v>7416</v>
      </c>
      <c r="F108" s="2987"/>
      <c r="G108" s="695"/>
      <c r="H108" s="637"/>
    </row>
    <row r="109" spans="1:8" ht="13.8" thickTop="1">
      <c r="A109" s="693"/>
      <c r="B109" s="693"/>
      <c r="C109" s="745"/>
      <c r="D109" s="739"/>
      <c r="E109" s="745"/>
      <c r="F109" s="693"/>
      <c r="G109" s="693"/>
      <c r="H109" s="637"/>
    </row>
    <row r="110" spans="1:8">
      <c r="A110" s="3140" t="s">
        <v>690</v>
      </c>
      <c r="B110" s="692" t="s">
        <v>381</v>
      </c>
      <c r="C110" s="739"/>
      <c r="D110" s="739"/>
      <c r="E110" s="739"/>
      <c r="F110" s="693"/>
      <c r="G110" s="693"/>
      <c r="H110" s="637"/>
    </row>
    <row r="111" spans="1:8">
      <c r="A111" s="693"/>
      <c r="B111" s="697" t="s">
        <v>2120</v>
      </c>
      <c r="C111" s="2902">
        <f>'הגדרות כלליות'!$D$10</f>
        <v>2015</v>
      </c>
      <c r="D111" s="2733"/>
      <c r="E111" s="2902">
        <f>'הגדרות כלליות'!$D$12</f>
        <v>2014</v>
      </c>
      <c r="F111" s="695"/>
      <c r="G111" s="693"/>
      <c r="H111" s="637"/>
    </row>
    <row r="112" spans="1:8">
      <c r="A112" s="693"/>
      <c r="B112" s="693" t="s">
        <v>815</v>
      </c>
      <c r="C112" s="3280">
        <f>+E116</f>
        <v>7264</v>
      </c>
      <c r="D112" s="736"/>
      <c r="E112" s="726">
        <v>6377</v>
      </c>
      <c r="F112" s="2987"/>
      <c r="G112" s="693"/>
      <c r="H112" s="637"/>
    </row>
    <row r="113" spans="1:8">
      <c r="A113" s="693"/>
      <c r="B113" s="693" t="s">
        <v>1522</v>
      </c>
      <c r="C113" s="726">
        <v>797</v>
      </c>
      <c r="D113" s="736"/>
      <c r="E113" s="726">
        <v>970</v>
      </c>
      <c r="F113" s="2987"/>
      <c r="G113" s="693"/>
      <c r="H113" s="637"/>
    </row>
    <row r="114" spans="1:8">
      <c r="A114" s="693"/>
      <c r="B114" s="693" t="s">
        <v>1133</v>
      </c>
      <c r="C114" s="726">
        <v>-619</v>
      </c>
      <c r="D114" s="736"/>
      <c r="E114" s="726">
        <v>-342</v>
      </c>
      <c r="F114" s="2987"/>
      <c r="G114" s="693"/>
      <c r="H114" s="637"/>
    </row>
    <row r="115" spans="1:8">
      <c r="A115" s="693"/>
      <c r="B115" s="693" t="s">
        <v>1523</v>
      </c>
      <c r="C115" s="726">
        <v>79</v>
      </c>
      <c r="D115" s="736"/>
      <c r="E115" s="726">
        <v>259</v>
      </c>
      <c r="F115" s="2987"/>
      <c r="G115" s="693"/>
      <c r="H115" s="637"/>
    </row>
    <row r="116" spans="1:8">
      <c r="A116" s="693"/>
      <c r="B116" s="693"/>
      <c r="C116" s="737">
        <f>ROUND(SUM(C112:C115),0)</f>
        <v>7521</v>
      </c>
      <c r="D116" s="736"/>
      <c r="E116" s="737">
        <f>ROUND(SUM(E112:E115),0)</f>
        <v>7264</v>
      </c>
      <c r="F116" s="2987"/>
      <c r="G116" s="693"/>
      <c r="H116" s="637"/>
    </row>
    <row r="117" spans="1:8">
      <c r="A117" s="693"/>
      <c r="B117" s="697" t="s">
        <v>781</v>
      </c>
      <c r="C117" s="705"/>
      <c r="D117" s="736"/>
      <c r="E117" s="705"/>
      <c r="F117" s="693"/>
      <c r="G117" s="693"/>
      <c r="H117" s="637"/>
    </row>
    <row r="118" spans="1:8">
      <c r="A118" s="693"/>
      <c r="B118" s="3288" t="s">
        <v>2253</v>
      </c>
      <c r="C118" s="726">
        <v>978</v>
      </c>
      <c r="D118" s="736"/>
      <c r="E118" s="726">
        <v>975</v>
      </c>
      <c r="F118" s="2987"/>
      <c r="G118" s="693"/>
      <c r="H118" s="637"/>
    </row>
    <row r="119" spans="1:8">
      <c r="A119" s="693"/>
      <c r="B119" s="3288" t="s">
        <v>2254</v>
      </c>
      <c r="C119" s="726">
        <v>384</v>
      </c>
      <c r="D119" s="736"/>
      <c r="E119" s="726">
        <v>331</v>
      </c>
      <c r="F119" s="2987"/>
      <c r="G119" s="693"/>
      <c r="H119" s="637"/>
    </row>
    <row r="120" spans="1:8">
      <c r="A120" s="693"/>
      <c r="B120" s="715" t="s">
        <v>350</v>
      </c>
      <c r="C120" s="726"/>
      <c r="D120" s="736"/>
      <c r="E120" s="726"/>
      <c r="F120" s="2987"/>
      <c r="G120" s="693"/>
      <c r="H120" s="637"/>
    </row>
    <row r="121" spans="1:8">
      <c r="A121" s="693"/>
      <c r="B121" s="693"/>
      <c r="C121" s="737">
        <f>ROUND(SUM(C118:C120),0)</f>
        <v>1362</v>
      </c>
      <c r="D121" s="695"/>
      <c r="E121" s="737">
        <f>ROUND(SUM(E118:E120),0)</f>
        <v>1306</v>
      </c>
      <c r="F121" s="2987"/>
      <c r="G121" s="693"/>
      <c r="H121" s="637"/>
    </row>
    <row r="122" spans="1:8">
      <c r="A122" s="693"/>
      <c r="B122" s="693"/>
      <c r="C122" s="695"/>
      <c r="D122" s="695"/>
      <c r="E122" s="695"/>
      <c r="F122" s="693"/>
      <c r="G122" s="693"/>
      <c r="H122" s="637"/>
    </row>
    <row r="123" spans="1:8" ht="13.8" thickBot="1">
      <c r="A123" s="693"/>
      <c r="B123" s="670" t="s">
        <v>1524</v>
      </c>
      <c r="C123" s="738">
        <f>C116+C121</f>
        <v>8883</v>
      </c>
      <c r="D123" s="739"/>
      <c r="E123" s="738">
        <f>E116+E121</f>
        <v>8570</v>
      </c>
      <c r="F123" s="2987"/>
      <c r="G123" s="693"/>
      <c r="H123" s="637"/>
    </row>
    <row r="124" spans="1:8" ht="13.8" thickTop="1">
      <c r="A124" s="693"/>
      <c r="B124" s="693"/>
      <c r="C124" s="739"/>
      <c r="D124" s="739"/>
      <c r="E124" s="739"/>
      <c r="F124" s="693"/>
      <c r="G124" s="693"/>
      <c r="H124" s="637"/>
    </row>
    <row r="125" spans="1:8" ht="15.75" customHeight="1">
      <c r="A125" s="3140" t="s">
        <v>698</v>
      </c>
      <c r="B125" s="692" t="s">
        <v>382</v>
      </c>
      <c r="C125" s="2903">
        <f>'הגדרות כלליות'!$D$10</f>
        <v>2015</v>
      </c>
      <c r="D125" s="739"/>
      <c r="E125" s="2903">
        <f>'הגדרות כלליות'!$D$12</f>
        <v>2014</v>
      </c>
      <c r="F125" s="693"/>
      <c r="G125" s="705"/>
      <c r="H125" s="689"/>
    </row>
    <row r="126" spans="1:8" ht="15" customHeight="1">
      <c r="A126" s="693"/>
      <c r="B126" s="3288" t="s">
        <v>2451</v>
      </c>
      <c r="C126" s="726">
        <v>179595</v>
      </c>
      <c r="D126" s="739"/>
      <c r="E126" s="726">
        <v>179595</v>
      </c>
      <c r="F126" s="2987"/>
      <c r="G126" s="705"/>
      <c r="H126" s="689"/>
    </row>
    <row r="127" spans="1:8" ht="15" customHeight="1">
      <c r="A127" s="693"/>
      <c r="B127" s="3288" t="s">
        <v>2452</v>
      </c>
      <c r="C127" s="726">
        <v>162</v>
      </c>
      <c r="D127" s="739"/>
      <c r="E127" s="726">
        <v>162</v>
      </c>
      <c r="F127" s="2987"/>
      <c r="G127" s="705"/>
      <c r="H127" s="689"/>
    </row>
    <row r="128" spans="1:8" ht="15" customHeight="1">
      <c r="A128" s="693" t="s">
        <v>360</v>
      </c>
      <c r="B128" s="3288" t="s">
        <v>2453</v>
      </c>
      <c r="C128" s="726">
        <v>473</v>
      </c>
      <c r="D128" s="739"/>
      <c r="E128" s="726">
        <v>391</v>
      </c>
      <c r="F128" s="2987"/>
      <c r="G128" s="705"/>
      <c r="H128" s="689"/>
    </row>
    <row r="129" spans="1:8" ht="15" customHeight="1">
      <c r="A129" s="693"/>
      <c r="B129" s="3288" t="s">
        <v>2454</v>
      </c>
      <c r="C129" s="726">
        <v>524</v>
      </c>
      <c r="D129" s="739"/>
      <c r="E129" s="726">
        <v>442</v>
      </c>
      <c r="F129" s="2987"/>
      <c r="G129" s="705"/>
      <c r="H129" s="689"/>
    </row>
    <row r="130" spans="1:8" ht="15" customHeight="1">
      <c r="A130" s="693"/>
      <c r="B130" s="3288" t="s">
        <v>2455</v>
      </c>
      <c r="C130" s="728">
        <v>156</v>
      </c>
      <c r="D130" s="739"/>
      <c r="E130" s="728">
        <v>155</v>
      </c>
      <c r="F130" s="2987"/>
      <c r="G130" s="705"/>
      <c r="H130" s="689"/>
    </row>
    <row r="131" spans="1:8" ht="15" customHeight="1" thickBot="1">
      <c r="A131" s="693"/>
      <c r="B131" s="693"/>
      <c r="C131" s="729">
        <f>SUM(C126:C130)</f>
        <v>180910</v>
      </c>
      <c r="D131" s="739"/>
      <c r="E131" s="729">
        <f>SUM(E126:E130)</f>
        <v>180745</v>
      </c>
      <c r="F131" s="2987"/>
      <c r="G131" s="695"/>
      <c r="H131" s="689"/>
    </row>
    <row r="132" spans="1:8" ht="13.8" thickTop="1">
      <c r="A132" s="693"/>
      <c r="B132" s="693"/>
      <c r="C132" s="693"/>
      <c r="D132" s="694"/>
      <c r="E132" s="693"/>
      <c r="F132" s="693"/>
      <c r="G132" s="693"/>
      <c r="H132" s="637"/>
    </row>
    <row r="133" spans="1:8">
      <c r="A133" s="3140" t="s">
        <v>700</v>
      </c>
      <c r="B133" s="692" t="s">
        <v>709</v>
      </c>
      <c r="C133" s="693"/>
      <c r="D133" s="694"/>
      <c r="E133" s="693"/>
      <c r="F133" s="693"/>
      <c r="G133" s="693"/>
      <c r="H133" s="637"/>
    </row>
    <row r="134" spans="1:8" ht="15.75" customHeight="1">
      <c r="A134" s="697">
        <v>1</v>
      </c>
      <c r="B134" s="697" t="s">
        <v>24</v>
      </c>
      <c r="C134" s="2903">
        <f>'הגדרות כלליות'!$D$10</f>
        <v>2015</v>
      </c>
      <c r="D134" s="739"/>
      <c r="E134" s="2903">
        <f>'הגדרות כלליות'!$D$12</f>
        <v>2014</v>
      </c>
      <c r="F134" s="693"/>
      <c r="G134" s="693"/>
      <c r="H134" s="637"/>
    </row>
    <row r="135" spans="1:8" ht="15" customHeight="1">
      <c r="A135" s="693"/>
      <c r="B135" s="693" t="s">
        <v>25</v>
      </c>
      <c r="C135" s="726"/>
      <c r="D135" s="694"/>
      <c r="E135" s="726"/>
      <c r="F135" s="2987"/>
      <c r="G135" s="693"/>
      <c r="H135" s="637"/>
    </row>
    <row r="136" spans="1:8" ht="15" customHeight="1">
      <c r="A136" s="693"/>
      <c r="B136" s="693" t="s">
        <v>26</v>
      </c>
      <c r="C136" s="726"/>
      <c r="D136" s="694"/>
      <c r="E136" s="726"/>
      <c r="F136" s="2987"/>
      <c r="G136" s="693"/>
      <c r="H136" s="637"/>
    </row>
    <row r="137" spans="1:8" ht="15" customHeight="1">
      <c r="A137" s="693"/>
      <c r="B137" s="715" t="s">
        <v>350</v>
      </c>
      <c r="C137" s="728"/>
      <c r="D137" s="694"/>
      <c r="E137" s="728"/>
      <c r="F137" s="2987"/>
      <c r="G137" s="693"/>
      <c r="H137" s="637"/>
    </row>
    <row r="138" spans="1:8" ht="15" customHeight="1">
      <c r="A138" s="693"/>
      <c r="B138" s="693"/>
      <c r="C138" s="737">
        <f>SUM(C135:C137)</f>
        <v>0</v>
      </c>
      <c r="D138" s="694"/>
      <c r="E138" s="737">
        <f>SUM(E135:E137)</f>
        <v>0</v>
      </c>
      <c r="F138" s="2987"/>
      <c r="G138" s="693"/>
      <c r="H138" s="637"/>
    </row>
    <row r="139" spans="1:8" ht="6.75" customHeight="1">
      <c r="A139" s="693"/>
      <c r="B139" s="693"/>
      <c r="C139" s="693"/>
      <c r="D139" s="694"/>
      <c r="E139" s="693"/>
      <c r="F139" s="693"/>
      <c r="G139" s="693"/>
      <c r="H139" s="637"/>
    </row>
    <row r="140" spans="1:8" ht="15.75" customHeight="1">
      <c r="A140" s="697">
        <v>2</v>
      </c>
      <c r="B140" s="697" t="s">
        <v>708</v>
      </c>
      <c r="C140" s="2903">
        <f>'הגדרות כלליות'!$D$10</f>
        <v>2015</v>
      </c>
      <c r="D140" s="739"/>
      <c r="E140" s="2903">
        <f>'הגדרות כלליות'!$D$12</f>
        <v>2014</v>
      </c>
      <c r="F140" s="693"/>
      <c r="G140" s="693"/>
      <c r="H140" s="637"/>
    </row>
    <row r="141" spans="1:8" ht="15" customHeight="1">
      <c r="A141" s="693"/>
      <c r="B141" s="3288" t="s">
        <v>2255</v>
      </c>
      <c r="C141" s="726">
        <v>14661</v>
      </c>
      <c r="D141" s="694"/>
      <c r="E141" s="726">
        <v>20000</v>
      </c>
      <c r="F141" s="2987"/>
      <c r="G141" s="693"/>
      <c r="H141" s="637"/>
    </row>
    <row r="142" spans="1:8" ht="15" customHeight="1">
      <c r="A142" s="693"/>
      <c r="B142" s="3288" t="s">
        <v>2457</v>
      </c>
      <c r="C142" s="726">
        <v>6700</v>
      </c>
      <c r="D142" s="694"/>
      <c r="E142" s="726"/>
      <c r="F142" s="2987"/>
      <c r="G142" s="693"/>
      <c r="H142" s="637"/>
    </row>
    <row r="143" spans="1:8" ht="15" customHeight="1">
      <c r="A143" s="693"/>
      <c r="B143" s="715" t="s">
        <v>350</v>
      </c>
      <c r="C143" s="728"/>
      <c r="D143" s="694"/>
      <c r="E143" s="728"/>
      <c r="F143" s="2987"/>
      <c r="G143" s="693"/>
      <c r="H143" s="637"/>
    </row>
    <row r="144" spans="1:8" ht="15" customHeight="1">
      <c r="A144" s="693"/>
      <c r="B144" s="693"/>
      <c r="C144" s="737">
        <f>SUM(C141:C143)</f>
        <v>21361</v>
      </c>
      <c r="D144" s="694"/>
      <c r="E144" s="737">
        <f>SUM(E141:E143)</f>
        <v>20000</v>
      </c>
      <c r="F144" s="2987"/>
      <c r="G144" s="693"/>
      <c r="H144" s="637"/>
    </row>
    <row r="145" spans="1:8" ht="15" customHeight="1">
      <c r="A145" s="693"/>
      <c r="B145" s="693"/>
      <c r="C145" s="2735"/>
      <c r="D145" s="694"/>
      <c r="E145" s="2735"/>
      <c r="F145" s="693"/>
      <c r="G145" s="693"/>
      <c r="H145" s="637"/>
    </row>
    <row r="146" spans="1:8" ht="13.8" thickBot="1">
      <c r="A146" s="693"/>
      <c r="B146" s="697" t="s">
        <v>572</v>
      </c>
      <c r="C146" s="729">
        <f>C138-C144</f>
        <v>-21361</v>
      </c>
      <c r="D146" s="694"/>
      <c r="E146" s="729">
        <f>E138-E144</f>
        <v>-20000</v>
      </c>
      <c r="F146" s="2987"/>
      <c r="G146" s="693"/>
      <c r="H146" s="637"/>
    </row>
    <row r="147" spans="1:8" ht="13.8" thickTop="1">
      <c r="A147" s="693"/>
      <c r="B147" s="693"/>
      <c r="C147" s="693"/>
      <c r="D147" s="694"/>
      <c r="E147" s="693"/>
      <c r="F147" s="693"/>
      <c r="G147" s="693"/>
      <c r="H147" s="637"/>
    </row>
    <row r="148" spans="1:8">
      <c r="A148" s="693"/>
      <c r="B148" s="693"/>
      <c r="C148" s="693"/>
      <c r="D148" s="694"/>
      <c r="E148" s="693"/>
      <c r="F148" s="693"/>
      <c r="G148" s="693"/>
      <c r="H148" s="637"/>
    </row>
    <row r="149" spans="1:8">
      <c r="A149" s="3140" t="s">
        <v>1518</v>
      </c>
      <c r="B149" s="692" t="s">
        <v>812</v>
      </c>
      <c r="C149" s="2903">
        <f>'הגדרות כלליות'!$D$10</f>
        <v>2015</v>
      </c>
      <c r="D149" s="739"/>
      <c r="E149" s="2903">
        <f>'הגדרות כלליות'!$D$12</f>
        <v>2014</v>
      </c>
      <c r="F149" s="693"/>
      <c r="G149" s="693"/>
      <c r="H149" s="637"/>
    </row>
    <row r="150" spans="1:8" ht="15.75" customHeight="1">
      <c r="A150" s="693"/>
      <c r="B150" s="3288"/>
      <c r="C150" s="726"/>
      <c r="D150" s="694"/>
      <c r="E150" s="726"/>
      <c r="F150" s="2987"/>
      <c r="G150" s="693"/>
      <c r="H150" s="637"/>
    </row>
    <row r="151" spans="1:8" ht="15.75" customHeight="1">
      <c r="A151" s="693"/>
      <c r="B151" s="3288"/>
      <c r="C151" s="726"/>
      <c r="D151" s="694"/>
      <c r="E151" s="726"/>
      <c r="F151" s="2987"/>
      <c r="G151" s="693"/>
      <c r="H151" s="637"/>
    </row>
    <row r="152" spans="1:8" ht="15.75" customHeight="1">
      <c r="A152" s="693"/>
      <c r="B152" s="715" t="s">
        <v>350</v>
      </c>
      <c r="C152" s="728"/>
      <c r="D152" s="694"/>
      <c r="E152" s="728"/>
      <c r="F152" s="2987"/>
      <c r="G152" s="693"/>
      <c r="H152" s="637"/>
    </row>
    <row r="153" spans="1:8" ht="13.8" thickBot="1">
      <c r="A153" s="693"/>
      <c r="B153" s="697" t="s">
        <v>813</v>
      </c>
      <c r="C153" s="729">
        <f>SUM(C150:C152)</f>
        <v>0</v>
      </c>
      <c r="D153" s="694"/>
      <c r="E153" s="729">
        <f>SUM(E150:E152)</f>
        <v>0</v>
      </c>
      <c r="F153" s="2987"/>
      <c r="G153" s="693"/>
      <c r="H153" s="637"/>
    </row>
    <row r="154" spans="1:8" ht="13.8" thickTop="1">
      <c r="A154" s="693"/>
      <c r="B154" s="693"/>
      <c r="C154" s="693"/>
      <c r="D154" s="694"/>
      <c r="E154" s="693"/>
      <c r="F154" s="693"/>
      <c r="G154" s="693"/>
      <c r="H154" s="637"/>
    </row>
    <row r="155" spans="1:8">
      <c r="A155" s="693"/>
      <c r="B155" s="693"/>
      <c r="C155" s="693"/>
      <c r="D155" s="694"/>
      <c r="E155" s="693"/>
      <c r="F155" s="693"/>
      <c r="G155" s="693"/>
      <c r="H155" s="637"/>
    </row>
    <row r="156" spans="1:8">
      <c r="A156" s="693"/>
      <c r="B156" s="715" t="s">
        <v>350</v>
      </c>
      <c r="C156" s="693"/>
      <c r="D156" s="694"/>
      <c r="E156" s="693"/>
      <c r="F156" s="693"/>
      <c r="G156" s="693"/>
      <c r="H156" s="637"/>
    </row>
    <row r="157" spans="1:8">
      <c r="A157" s="693"/>
      <c r="B157" s="693"/>
      <c r="C157" s="693"/>
      <c r="D157" s="694"/>
      <c r="E157" s="693"/>
      <c r="F157" s="693"/>
      <c r="G157" s="693"/>
      <c r="H157" s="637"/>
    </row>
    <row r="158" spans="1:8" ht="13.8" thickBot="1">
      <c r="A158" s="693"/>
      <c r="B158" s="693"/>
      <c r="C158" s="693"/>
      <c r="D158" s="694"/>
      <c r="E158" s="693"/>
      <c r="F158" s="693"/>
      <c r="G158" s="693"/>
      <c r="H158" s="740"/>
    </row>
    <row r="159" spans="1:8" ht="13.8" thickTop="1">
      <c r="A159" s="746"/>
      <c r="B159" s="746"/>
      <c r="C159" s="746"/>
      <c r="D159" s="746"/>
      <c r="E159" s="746"/>
      <c r="F159" s="746"/>
      <c r="G159" s="746"/>
    </row>
    <row r="160" spans="1:8">
      <c r="D160" s="690"/>
      <c r="G160" s="690"/>
    </row>
    <row r="161" spans="1:8">
      <c r="D161" s="690"/>
      <c r="G161" s="690"/>
    </row>
    <row r="162" spans="1:8">
      <c r="D162" s="690"/>
      <c r="G162" s="690"/>
    </row>
    <row r="163" spans="1:8">
      <c r="D163" s="690"/>
      <c r="G163" s="690"/>
    </row>
    <row r="164" spans="1:8">
      <c r="D164" s="690"/>
      <c r="G164" s="690"/>
    </row>
    <row r="165" spans="1:8">
      <c r="D165" s="690"/>
      <c r="G165" s="690"/>
    </row>
    <row r="166" spans="1:8">
      <c r="D166" s="690"/>
      <c r="G166" s="690"/>
    </row>
    <row r="167" spans="1:8">
      <c r="D167" s="690"/>
      <c r="G167" s="690"/>
    </row>
    <row r="168" spans="1:8">
      <c r="D168" s="690"/>
      <c r="G168" s="690"/>
    </row>
    <row r="169" spans="1:8">
      <c r="D169" s="690"/>
      <c r="G169" s="690"/>
    </row>
    <row r="170" spans="1:8">
      <c r="D170" s="690"/>
      <c r="G170" s="690"/>
    </row>
    <row r="171" spans="1:8">
      <c r="D171" s="690"/>
      <c r="G171" s="690"/>
    </row>
    <row r="172" spans="1:8">
      <c r="D172" s="690"/>
      <c r="G172" s="690"/>
    </row>
    <row r="173" spans="1:8">
      <c r="D173" s="690"/>
      <c r="G173" s="690"/>
    </row>
    <row r="174" spans="1:8">
      <c r="D174" s="690"/>
      <c r="G174" s="690"/>
    </row>
    <row r="175" spans="1:8">
      <c r="D175" s="690"/>
      <c r="G175" s="690"/>
      <c r="H175" s="297"/>
    </row>
    <row r="176" spans="1:8">
      <c r="A176" s="3488"/>
      <c r="B176" s="3488"/>
      <c r="C176" s="3488"/>
      <c r="D176" s="3488"/>
      <c r="E176" s="3488"/>
      <c r="F176" s="3488"/>
      <c r="G176" s="3488"/>
      <c r="H176" s="297"/>
    </row>
    <row r="177" spans="1:8">
      <c r="A177" s="3488"/>
      <c r="B177" s="3488"/>
      <c r="C177" s="3488"/>
      <c r="D177" s="3488"/>
      <c r="E177" s="3488"/>
      <c r="F177" s="3488"/>
      <c r="G177" s="3488"/>
      <c r="H177" s="297"/>
    </row>
    <row r="178" spans="1:8">
      <c r="D178" s="690"/>
      <c r="G178" s="690"/>
      <c r="H178" s="297"/>
    </row>
    <row r="179" spans="1:8">
      <c r="D179" s="690"/>
      <c r="G179" s="690"/>
      <c r="H179" s="297"/>
    </row>
    <row r="180" spans="1:8">
      <c r="D180" s="690"/>
      <c r="G180" s="690"/>
      <c r="H180" s="297"/>
    </row>
    <row r="181" spans="1:8">
      <c r="D181" s="690"/>
      <c r="G181" s="690"/>
      <c r="H181" s="297"/>
    </row>
    <row r="182" spans="1:8">
      <c r="D182" s="690"/>
      <c r="G182" s="690"/>
      <c r="H182" s="297"/>
    </row>
    <row r="183" spans="1:8">
      <c r="D183" s="690"/>
      <c r="G183" s="690"/>
      <c r="H183" s="297"/>
    </row>
    <row r="184" spans="1:8">
      <c r="D184" s="690"/>
      <c r="G184" s="690"/>
      <c r="H184" s="297"/>
    </row>
    <row r="185" spans="1:8">
      <c r="D185" s="690"/>
      <c r="G185" s="690"/>
      <c r="H185" s="297"/>
    </row>
    <row r="186" spans="1:8">
      <c r="D186" s="690"/>
      <c r="G186" s="690"/>
      <c r="H186" s="297"/>
    </row>
    <row r="187" spans="1:8">
      <c r="D187" s="690"/>
      <c r="G187" s="690"/>
      <c r="H187" s="297"/>
    </row>
    <row r="188" spans="1:8">
      <c r="D188" s="690"/>
      <c r="G188" s="690"/>
      <c r="H188" s="297"/>
    </row>
    <row r="189" spans="1:8">
      <c r="D189" s="690"/>
      <c r="G189" s="690"/>
      <c r="H189" s="297"/>
    </row>
    <row r="190" spans="1:8">
      <c r="D190" s="690"/>
      <c r="G190" s="690"/>
      <c r="H190" s="297"/>
    </row>
    <row r="191" spans="1:8">
      <c r="D191" s="690"/>
      <c r="G191" s="690"/>
      <c r="H191" s="747"/>
    </row>
    <row r="192" spans="1:8">
      <c r="D192" s="690"/>
      <c r="G192" s="690"/>
      <c r="H192" s="350"/>
    </row>
    <row r="193" spans="4:11">
      <c r="D193" s="690"/>
      <c r="G193" s="690"/>
      <c r="H193" s="350"/>
      <c r="I193" s="297"/>
      <c r="J193" s="350"/>
      <c r="K193" s="297"/>
    </row>
    <row r="194" spans="4:11">
      <c r="D194" s="690"/>
      <c r="G194" s="690"/>
      <c r="H194" s="350"/>
      <c r="I194" s="297"/>
      <c r="J194" s="350"/>
      <c r="K194" s="297"/>
    </row>
    <row r="195" spans="4:11">
      <c r="D195" s="690"/>
      <c r="G195" s="690"/>
      <c r="H195" s="297"/>
      <c r="I195" s="350"/>
      <c r="J195" s="297"/>
    </row>
    <row r="196" spans="4:11">
      <c r="D196" s="690"/>
      <c r="G196" s="690"/>
      <c r="H196" s="297"/>
      <c r="I196" s="350"/>
      <c r="J196" s="297"/>
    </row>
    <row r="197" spans="4:11">
      <c r="D197" s="690"/>
      <c r="G197" s="690"/>
      <c r="H197" s="297"/>
      <c r="I197" s="350"/>
      <c r="J197" s="297"/>
    </row>
    <row r="198" spans="4:11">
      <c r="D198" s="690"/>
      <c r="G198" s="690"/>
      <c r="H198" s="297"/>
      <c r="I198" s="350"/>
      <c r="J198" s="297"/>
    </row>
    <row r="199" spans="4:11">
      <c r="D199" s="690"/>
      <c r="G199" s="690"/>
      <c r="H199" s="297"/>
      <c r="I199" s="350"/>
      <c r="J199" s="297"/>
    </row>
    <row r="200" spans="4:11">
      <c r="D200" s="690"/>
      <c r="G200" s="690"/>
      <c r="H200" s="297"/>
      <c r="I200" s="350"/>
      <c r="J200" s="297"/>
    </row>
    <row r="201" spans="4:11">
      <c r="D201" s="690"/>
      <c r="G201" s="690"/>
      <c r="H201" s="297"/>
      <c r="I201" s="350"/>
      <c r="J201" s="297"/>
    </row>
    <row r="202" spans="4:11">
      <c r="D202" s="690"/>
      <c r="G202" s="690"/>
      <c r="H202" s="297"/>
      <c r="I202" s="350"/>
      <c r="J202" s="297"/>
    </row>
    <row r="203" spans="4:11">
      <c r="D203" s="690"/>
      <c r="G203" s="690"/>
      <c r="H203" s="297"/>
      <c r="I203" s="350"/>
      <c r="J203" s="297"/>
    </row>
    <row r="204" spans="4:11">
      <c r="D204" s="690"/>
      <c r="G204" s="690"/>
      <c r="H204" s="297"/>
      <c r="I204" s="350"/>
      <c r="J204" s="297"/>
    </row>
    <row r="205" spans="4:11">
      <c r="D205" s="690"/>
      <c r="G205" s="690"/>
      <c r="H205" s="297"/>
      <c r="I205" s="350"/>
      <c r="J205" s="297"/>
    </row>
    <row r="206" spans="4:11">
      <c r="D206" s="690"/>
      <c r="G206" s="690"/>
      <c r="H206" s="297"/>
      <c r="I206" s="350"/>
      <c r="J206" s="297"/>
    </row>
    <row r="207" spans="4:11">
      <c r="D207" s="690"/>
      <c r="G207" s="690"/>
      <c r="H207" s="297"/>
      <c r="I207" s="350"/>
      <c r="J207" s="297"/>
    </row>
    <row r="208" spans="4:11">
      <c r="D208" s="690"/>
      <c r="G208" s="690"/>
      <c r="H208" s="297"/>
      <c r="I208" s="350"/>
      <c r="J208" s="297"/>
    </row>
    <row r="209" spans="1:11">
      <c r="A209" s="297" t="s">
        <v>360</v>
      </c>
      <c r="B209" s="297" t="s">
        <v>360</v>
      </c>
      <c r="C209" s="297"/>
      <c r="D209" s="297"/>
      <c r="E209" s="350"/>
      <c r="F209" s="297"/>
      <c r="G209" s="748"/>
      <c r="H209" s="297"/>
      <c r="I209" s="350"/>
      <c r="J209" s="297"/>
    </row>
    <row r="210" spans="1:11">
      <c r="A210" s="297"/>
      <c r="B210" s="297"/>
      <c r="C210" s="297"/>
      <c r="D210" s="297"/>
      <c r="E210" s="297"/>
      <c r="F210" s="350"/>
      <c r="G210" s="749"/>
      <c r="H210" s="350"/>
      <c r="I210" s="297"/>
      <c r="J210" s="350"/>
      <c r="K210" s="297"/>
    </row>
    <row r="211" spans="1:11">
      <c r="B211" s="743"/>
      <c r="C211" s="750"/>
      <c r="E211" s="750"/>
      <c r="F211" s="743"/>
    </row>
    <row r="212" spans="1:11">
      <c r="B212" s="743"/>
      <c r="C212" s="750"/>
      <c r="E212" s="750"/>
      <c r="F212" s="743"/>
    </row>
    <row r="213" spans="1:11">
      <c r="B213" s="743"/>
      <c r="C213" s="750"/>
      <c r="E213" s="750"/>
      <c r="F213" s="743"/>
    </row>
    <row r="214" spans="1:11">
      <c r="B214" s="743"/>
      <c r="C214" s="750"/>
      <c r="E214" s="750"/>
      <c r="F214" s="743"/>
    </row>
    <row r="215" spans="1:11">
      <c r="B215" s="743"/>
      <c r="C215" s="750"/>
      <c r="E215" s="750"/>
      <c r="F215" s="743"/>
    </row>
    <row r="216" spans="1:11">
      <c r="B216" s="743"/>
      <c r="C216" s="750"/>
      <c r="E216" s="750"/>
      <c r="F216" s="743"/>
    </row>
    <row r="217" spans="1:11">
      <c r="B217" s="743"/>
      <c r="C217" s="750"/>
      <c r="E217" s="750"/>
      <c r="F217" s="743"/>
    </row>
    <row r="218" spans="1:11">
      <c r="B218" s="743"/>
      <c r="C218" s="750"/>
      <c r="E218" s="750"/>
      <c r="F218" s="743"/>
    </row>
    <row r="258" spans="1:7" ht="15.6">
      <c r="A258" s="3482" t="str">
        <f>C1</f>
        <v>עירית הרצליה</v>
      </c>
      <c r="B258" s="3482"/>
      <c r="C258" s="3482"/>
      <c r="D258" s="3482"/>
      <c r="E258" s="3482"/>
      <c r="G258" s="690"/>
    </row>
    <row r="259" spans="1:7" ht="15.6">
      <c r="A259" s="3482" t="str">
        <f>C2</f>
        <v>ביאורים לדוחות הכספיים</v>
      </c>
      <c r="B259" s="3482"/>
      <c r="C259" s="3482"/>
      <c r="D259" s="3482"/>
      <c r="E259" s="3482"/>
      <c r="G259" s="690"/>
    </row>
    <row r="260" spans="1:7" ht="15.6">
      <c r="A260" s="3482" t="str">
        <f>C3</f>
        <v>(אלפי ש"ח)</v>
      </c>
      <c r="B260" s="3482"/>
      <c r="C260" s="3482"/>
      <c r="D260" s="3482"/>
      <c r="E260" s="3482"/>
      <c r="G260" s="690"/>
    </row>
    <row r="263" spans="1:7">
      <c r="A263" s="3489" t="str">
        <f t="shared" ref="A263:A273" si="0">A5</f>
        <v xml:space="preserve">ביאור 3 - פירוטים לסעיפי המאזן </v>
      </c>
      <c r="B263" s="3489"/>
      <c r="C263" s="690">
        <f t="shared" ref="C263:E264" si="1">C5</f>
        <v>0</v>
      </c>
      <c r="D263" s="743">
        <f t="shared" si="1"/>
        <v>0</v>
      </c>
      <c r="E263" s="690">
        <f t="shared" si="1"/>
        <v>0</v>
      </c>
      <c r="G263" s="690"/>
    </row>
    <row r="264" spans="1:7">
      <c r="A264" s="690">
        <f t="shared" si="0"/>
        <v>0</v>
      </c>
      <c r="B264" s="690">
        <f>B6</f>
        <v>0</v>
      </c>
      <c r="C264" s="690">
        <f t="shared" si="1"/>
        <v>0</v>
      </c>
      <c r="D264" s="743">
        <f t="shared" si="1"/>
        <v>0</v>
      </c>
      <c r="E264" s="690">
        <f t="shared" si="1"/>
        <v>0</v>
      </c>
      <c r="G264" s="690"/>
    </row>
    <row r="265" spans="1:7">
      <c r="A265" s="690">
        <f t="shared" si="0"/>
        <v>0</v>
      </c>
      <c r="B265" s="690">
        <f>B7</f>
        <v>0</v>
      </c>
      <c r="C265" s="3486" t="str">
        <f t="shared" ref="C265:C278" si="2">C7</f>
        <v>ליום 31 בדצמבר באלפי ש"ח</v>
      </c>
      <c r="D265" s="3487"/>
      <c r="E265" s="3487"/>
      <c r="G265" s="690"/>
    </row>
    <row r="266" spans="1:7">
      <c r="A266" s="690">
        <f t="shared" si="0"/>
        <v>0</v>
      </c>
      <c r="B266" s="690">
        <f>B8</f>
        <v>0</v>
      </c>
      <c r="C266" s="3104">
        <f t="shared" si="2"/>
        <v>2015</v>
      </c>
      <c r="D266" s="754">
        <f t="shared" ref="D266:E275" si="3">D8</f>
        <v>0</v>
      </c>
      <c r="E266" s="3104">
        <f t="shared" si="3"/>
        <v>2014</v>
      </c>
      <c r="G266" s="690"/>
    </row>
    <row r="267" spans="1:7">
      <c r="A267" s="755" t="str">
        <f t="shared" si="0"/>
        <v>א.</v>
      </c>
      <c r="B267" s="756" t="str">
        <f>B9</f>
        <v>נכסים נזילים - קופה ובנקים</v>
      </c>
      <c r="C267" s="757">
        <f t="shared" si="2"/>
        <v>0</v>
      </c>
      <c r="D267" s="757">
        <f t="shared" si="3"/>
        <v>0</v>
      </c>
      <c r="E267" s="743">
        <f t="shared" si="3"/>
        <v>0</v>
      </c>
      <c r="F267" s="743">
        <f t="shared" ref="F267:F275" si="4">F9</f>
        <v>0</v>
      </c>
      <c r="G267" s="690"/>
    </row>
    <row r="268" spans="1:7">
      <c r="A268" s="690">
        <f t="shared" si="0"/>
        <v>0</v>
      </c>
      <c r="B268" s="170" t="str">
        <f>IF(AND($C10=0,$E10=0),"",$B10)</f>
        <v>מזומנים בקופות</v>
      </c>
      <c r="C268" s="326">
        <f t="shared" si="2"/>
        <v>669</v>
      </c>
      <c r="D268" s="757">
        <f t="shared" si="3"/>
        <v>0</v>
      </c>
      <c r="E268" s="326">
        <f t="shared" si="3"/>
        <v>1569</v>
      </c>
      <c r="F268" s="743">
        <f t="shared" si="4"/>
        <v>0</v>
      </c>
      <c r="G268" s="690"/>
    </row>
    <row r="269" spans="1:7">
      <c r="A269" s="690">
        <f t="shared" si="0"/>
        <v>0</v>
      </c>
      <c r="B269" s="170" t="str">
        <f>IF(AND($C11=0,$E11=0),"",$B11)</f>
        <v xml:space="preserve">בנקים מסחריים </v>
      </c>
      <c r="C269" s="326">
        <f t="shared" si="2"/>
        <v>241190</v>
      </c>
      <c r="D269" s="757">
        <f t="shared" si="3"/>
        <v>0</v>
      </c>
      <c r="E269" s="326">
        <f t="shared" si="3"/>
        <v>175489</v>
      </c>
      <c r="F269" s="743">
        <f t="shared" si="4"/>
        <v>0</v>
      </c>
      <c r="G269" s="690"/>
    </row>
    <row r="270" spans="1:7">
      <c r="A270" s="690">
        <f t="shared" si="0"/>
        <v>0</v>
      </c>
      <c r="B270" s="170" t="str">
        <f>IF(AND($C12=0,$E12=0),"",$B12)</f>
        <v/>
      </c>
      <c r="C270" s="326">
        <f t="shared" si="2"/>
        <v>0</v>
      </c>
      <c r="D270" s="757">
        <f t="shared" si="3"/>
        <v>0</v>
      </c>
      <c r="E270" s="326">
        <f t="shared" si="3"/>
        <v>0</v>
      </c>
      <c r="F270" s="743">
        <f t="shared" si="4"/>
        <v>0</v>
      </c>
      <c r="G270" s="690"/>
    </row>
    <row r="271" spans="1:7">
      <c r="A271" s="690">
        <f t="shared" si="0"/>
        <v>0</v>
      </c>
      <c r="B271" s="170" t="str">
        <f>IF(AND($B13&lt;&gt;"(***)",OR($C13&lt;&gt;0,$E13&lt;&gt;0)),$B13,"")</f>
        <v/>
      </c>
      <c r="C271" s="326">
        <f t="shared" si="2"/>
        <v>0</v>
      </c>
      <c r="D271" s="757">
        <f t="shared" si="3"/>
        <v>0</v>
      </c>
      <c r="E271" s="326">
        <f t="shared" si="3"/>
        <v>0</v>
      </c>
      <c r="F271" s="743">
        <f t="shared" si="4"/>
        <v>0</v>
      </c>
      <c r="G271" s="690"/>
    </row>
    <row r="272" spans="1:7">
      <c r="A272" s="690">
        <f t="shared" si="0"/>
        <v>0</v>
      </c>
      <c r="B272" s="170" t="str">
        <f>IF(AND($C14=0,$E14=0),"",$B14)</f>
        <v>סך כל הנכסים הנזילים קופה ובנקים (1)</v>
      </c>
      <c r="C272" s="758">
        <f t="shared" si="2"/>
        <v>241859</v>
      </c>
      <c r="D272" s="757">
        <f t="shared" si="3"/>
        <v>0</v>
      </c>
      <c r="E272" s="758">
        <f t="shared" si="3"/>
        <v>177058</v>
      </c>
      <c r="F272" s="743">
        <f t="shared" si="4"/>
        <v>0</v>
      </c>
      <c r="G272" s="690"/>
    </row>
    <row r="273" spans="1:7">
      <c r="A273" s="690">
        <f t="shared" si="0"/>
        <v>0</v>
      </c>
      <c r="B273" s="170" t="str">
        <f>IF(AND($C15=0,$E15=0),"",$B15)</f>
        <v/>
      </c>
      <c r="C273" s="326">
        <f t="shared" si="2"/>
        <v>0</v>
      </c>
      <c r="D273" s="757">
        <f t="shared" si="3"/>
        <v>0</v>
      </c>
      <c r="E273" s="326">
        <f t="shared" si="3"/>
        <v>0</v>
      </c>
      <c r="F273" s="743">
        <f t="shared" si="4"/>
        <v>0</v>
      </c>
      <c r="G273" s="690"/>
    </row>
    <row r="274" spans="1:7">
      <c r="B274" s="170" t="str">
        <f>IF(AND($C16=0,$E16=0),"",$B16)</f>
        <v/>
      </c>
      <c r="C274" s="326">
        <f t="shared" si="2"/>
        <v>0</v>
      </c>
      <c r="D274" s="757">
        <f t="shared" si="3"/>
        <v>0</v>
      </c>
      <c r="E274" s="326">
        <f t="shared" si="3"/>
        <v>0</v>
      </c>
      <c r="F274" s="743">
        <f t="shared" si="4"/>
        <v>0</v>
      </c>
      <c r="G274" s="690"/>
    </row>
    <row r="275" spans="1:7" ht="13.8" thickBot="1">
      <c r="A275" s="690">
        <f>A17</f>
        <v>0</v>
      </c>
      <c r="B275" s="170">
        <f>B17</f>
        <v>0</v>
      </c>
      <c r="C275" s="759">
        <f t="shared" si="2"/>
        <v>241859</v>
      </c>
      <c r="D275" s="757">
        <f t="shared" si="3"/>
        <v>0</v>
      </c>
      <c r="E275" s="759">
        <f t="shared" si="3"/>
        <v>177058</v>
      </c>
      <c r="F275" s="743">
        <f t="shared" si="4"/>
        <v>0</v>
      </c>
      <c r="G275" s="690"/>
    </row>
    <row r="276" spans="1:7" ht="14.4" thickTop="1" thickBot="1">
      <c r="A276" s="690" t="str">
        <f>A18</f>
        <v>(1)</v>
      </c>
      <c r="B276" s="690" t="str">
        <f>B18</f>
        <v>כולל פקדונות לזמן קצר</v>
      </c>
      <c r="C276" s="3127">
        <f t="shared" si="2"/>
        <v>230268</v>
      </c>
      <c r="D276" s="757"/>
      <c r="E276" s="3127">
        <f>E18</f>
        <v>171346</v>
      </c>
      <c r="F276" s="743"/>
      <c r="G276" s="690"/>
    </row>
    <row r="277" spans="1:7" ht="14.4" thickTop="1" thickBot="1">
      <c r="A277" s="170">
        <f>IF($B19&lt;&gt;"(***)",$A19,"")</f>
        <v>0</v>
      </c>
      <c r="B277" s="170">
        <f>IF($B19&lt;&gt;"(***)",$B19,"")</f>
        <v>0</v>
      </c>
      <c r="C277" s="3127">
        <f t="shared" si="2"/>
        <v>0</v>
      </c>
      <c r="D277" s="757"/>
      <c r="E277" s="3127">
        <f>E19</f>
        <v>0</v>
      </c>
      <c r="F277" s="743"/>
      <c r="G277" s="690"/>
    </row>
    <row r="278" spans="1:7" ht="14.4" thickTop="1" thickBot="1">
      <c r="A278" s="170">
        <f>IF($B20&lt;&gt;"(***)",$A20,"")</f>
        <v>0</v>
      </c>
      <c r="B278" s="170">
        <f>IF($B20&lt;&gt;"(***)",$B20,"")</f>
        <v>0</v>
      </c>
      <c r="C278" s="3127">
        <f t="shared" si="2"/>
        <v>0</v>
      </c>
      <c r="D278" s="757"/>
      <c r="E278" s="3127">
        <f>E20</f>
        <v>0</v>
      </c>
      <c r="F278" s="743"/>
      <c r="G278" s="690"/>
    </row>
    <row r="279" spans="1:7" ht="13.8" thickTop="1">
      <c r="A279" s="170">
        <f>IF($B21&lt;&gt;"(***)",$A21,"")</f>
        <v>0</v>
      </c>
      <c r="B279" s="170">
        <f>IF($B21&lt;&gt;"(***)",$B21,"")</f>
        <v>0</v>
      </c>
      <c r="C279" s="743"/>
      <c r="D279" s="757"/>
      <c r="E279" s="743"/>
      <c r="F279" s="743"/>
      <c r="G279" s="690"/>
    </row>
    <row r="280" spans="1:7">
      <c r="A280" s="690">
        <f t="shared" ref="A280:B282" si="5">A22</f>
        <v>0</v>
      </c>
      <c r="B280" s="3108">
        <f t="shared" si="5"/>
        <v>0</v>
      </c>
      <c r="C280" s="3108"/>
      <c r="D280" s="3108"/>
      <c r="E280" s="3108"/>
      <c r="F280" s="743"/>
      <c r="G280" s="690"/>
    </row>
    <row r="281" spans="1:7">
      <c r="A281" s="690">
        <f t="shared" si="5"/>
        <v>0</v>
      </c>
      <c r="B281" s="3108">
        <f t="shared" si="5"/>
        <v>0</v>
      </c>
      <c r="C281" s="3108"/>
      <c r="D281" s="3108"/>
      <c r="E281" s="3108"/>
      <c r="F281" s="743"/>
      <c r="G281" s="690"/>
    </row>
    <row r="282" spans="1:7" ht="53.25" customHeight="1">
      <c r="A282" s="3282" t="str">
        <f t="shared" si="5"/>
        <v>(2)</v>
      </c>
      <c r="B282" s="3480" t="str">
        <f t="shared" si="5"/>
        <v>ע"פ תיקון לחוק יסודות התקציב (תיקון מס' 38), התש"ע 2010, נקבע כי רשות מקומית תנהל את ההקצבות לפיתוח בחשבון בנק נפרד שייפתח  בתאגיד בנקאי, המיועד אך ורק למטרה זו, (להלן חשבון הפיתוח). בחשבון הפיתוח יופקדו כספי ההקצבות לפיתוח בלבד, והוא ישמש את הרשות המקומית רק למטרות שלשמן יועדו ההקצבות. המדינה לא תעביר לרשות מקומית הקצבות לפיתוח, אלא במישרין לחשבון הפיתוח שנפתח לפי הוראות תיקון זה והמנוהל לפיהן. הכספים בחשבון הפיתוח האמור לא יהיו ניתנים לעיקול אא"כ מתקיימים במצטבר תנאים שנקבעו בתיקון האמור.</v>
      </c>
      <c r="C282" s="3481"/>
      <c r="D282" s="3481"/>
      <c r="E282" s="3481"/>
      <c r="F282" s="3481"/>
      <c r="G282" s="3481"/>
    </row>
    <row r="283" spans="1:7">
      <c r="A283" s="690">
        <f t="shared" ref="A283:B284" si="6">A26</f>
        <v>0</v>
      </c>
      <c r="B283" s="3233">
        <f t="shared" si="6"/>
        <v>0</v>
      </c>
      <c r="C283" s="3109"/>
      <c r="D283" s="3109"/>
      <c r="E283" s="3109"/>
      <c r="F283" s="743"/>
      <c r="G283" s="690"/>
    </row>
    <row r="284" spans="1:7" ht="19.5" customHeight="1">
      <c r="A284" s="690">
        <f t="shared" si="6"/>
        <v>0</v>
      </c>
      <c r="B284" s="3232">
        <f t="shared" si="6"/>
        <v>0</v>
      </c>
      <c r="C284" s="690">
        <f t="shared" ref="C284:F303" si="7">C27</f>
        <v>0</v>
      </c>
      <c r="D284" s="743">
        <f t="shared" si="7"/>
        <v>0</v>
      </c>
      <c r="E284" s="690">
        <f t="shared" si="7"/>
        <v>0</v>
      </c>
      <c r="F284" s="743">
        <f t="shared" si="7"/>
        <v>0</v>
      </c>
      <c r="G284" s="690"/>
    </row>
    <row r="285" spans="1:7" ht="12" customHeight="1">
      <c r="A285" s="760" t="str">
        <f>IF(AND($C296=0,$E296=0),"",A28)</f>
        <v>ב.</v>
      </c>
      <c r="B285" s="756" t="str">
        <f>IF(AND($C296=0,$E296=0),"",B28)</f>
        <v>הכנסות מתוקצבות שטרם נגבו</v>
      </c>
      <c r="C285" s="3104">
        <f>IF(AND($C296=0,$E296=0),"",C28)</f>
        <v>2015</v>
      </c>
      <c r="D285" s="754">
        <f t="shared" si="7"/>
        <v>0</v>
      </c>
      <c r="E285" s="3104">
        <f>IF(AND($C296=0,$E296=0),"",E28)</f>
        <v>2014</v>
      </c>
      <c r="F285" s="743">
        <f>F28</f>
        <v>0</v>
      </c>
      <c r="G285" s="690"/>
    </row>
    <row r="286" spans="1:7">
      <c r="A286" s="690">
        <f t="shared" ref="A286:A297" si="8">A29</f>
        <v>0</v>
      </c>
      <c r="B286" s="170" t="str">
        <f t="shared" ref="B286:B291" si="9">IF(AND($C29=0,$E29=0),"",$B29)</f>
        <v>משרד החינוך</v>
      </c>
      <c r="C286" s="326">
        <f t="shared" si="7"/>
        <v>224</v>
      </c>
      <c r="D286" s="743">
        <f t="shared" si="7"/>
        <v>0</v>
      </c>
      <c r="E286" s="326">
        <f t="shared" si="7"/>
        <v>2885</v>
      </c>
      <c r="F286" s="743">
        <f t="shared" si="7"/>
        <v>0</v>
      </c>
      <c r="G286" s="690"/>
    </row>
    <row r="287" spans="1:7">
      <c r="A287" s="690">
        <f t="shared" si="8"/>
        <v>0</v>
      </c>
      <c r="B287" s="170" t="str">
        <f t="shared" si="9"/>
        <v>משרד הרווחה</v>
      </c>
      <c r="C287" s="326">
        <f t="shared" si="7"/>
        <v>602</v>
      </c>
      <c r="D287" s="743">
        <f t="shared" si="7"/>
        <v>0</v>
      </c>
      <c r="E287" s="326">
        <f t="shared" si="7"/>
        <v>116</v>
      </c>
      <c r="F287" s="743">
        <f t="shared" si="7"/>
        <v>0</v>
      </c>
      <c r="G287" s="690"/>
    </row>
    <row r="288" spans="1:7">
      <c r="A288" s="690">
        <f t="shared" si="8"/>
        <v>0</v>
      </c>
      <c r="B288" s="170" t="str">
        <f t="shared" si="9"/>
        <v>משרד הפנים</v>
      </c>
      <c r="C288" s="326">
        <f t="shared" si="7"/>
        <v>228</v>
      </c>
      <c r="D288" s="743">
        <f t="shared" si="7"/>
        <v>0</v>
      </c>
      <c r="E288" s="326">
        <f t="shared" si="7"/>
        <v>0</v>
      </c>
      <c r="F288" s="743">
        <f t="shared" si="7"/>
        <v>0</v>
      </c>
      <c r="G288" s="690"/>
    </row>
    <row r="289" spans="1:7">
      <c r="A289" s="690">
        <f t="shared" si="8"/>
        <v>0</v>
      </c>
      <c r="B289" s="170" t="str">
        <f t="shared" si="9"/>
        <v/>
      </c>
      <c r="C289" s="326">
        <f t="shared" si="7"/>
        <v>0</v>
      </c>
      <c r="D289" s="743">
        <f t="shared" si="7"/>
        <v>0</v>
      </c>
      <c r="E289" s="326">
        <f t="shared" si="7"/>
        <v>0</v>
      </c>
      <c r="F289" s="743">
        <f t="shared" si="7"/>
        <v>0</v>
      </c>
      <c r="G289" s="690"/>
    </row>
    <row r="290" spans="1:7">
      <c r="A290" s="690">
        <f t="shared" si="8"/>
        <v>0</v>
      </c>
      <c r="B290" s="170" t="str">
        <f t="shared" si="9"/>
        <v/>
      </c>
      <c r="C290" s="326">
        <f t="shared" si="7"/>
        <v>0</v>
      </c>
      <c r="D290" s="743">
        <f t="shared" si="7"/>
        <v>0</v>
      </c>
      <c r="E290" s="326">
        <f t="shared" si="7"/>
        <v>0</v>
      </c>
      <c r="F290" s="743">
        <f t="shared" si="7"/>
        <v>0</v>
      </c>
      <c r="G290" s="690"/>
    </row>
    <row r="291" spans="1:7">
      <c r="A291" s="690">
        <f t="shared" si="8"/>
        <v>0</v>
      </c>
      <c r="B291" s="170" t="str">
        <f t="shared" si="9"/>
        <v>המשרד לבטחון פנים</v>
      </c>
      <c r="C291" s="326">
        <f t="shared" si="7"/>
        <v>7</v>
      </c>
      <c r="D291" s="743">
        <f t="shared" si="7"/>
        <v>0</v>
      </c>
      <c r="E291" s="326">
        <f t="shared" si="7"/>
        <v>0</v>
      </c>
      <c r="F291" s="743">
        <f t="shared" si="7"/>
        <v>0</v>
      </c>
      <c r="G291" s="690"/>
    </row>
    <row r="292" spans="1:7">
      <c r="A292" s="690">
        <f t="shared" si="8"/>
        <v>0</v>
      </c>
      <c r="B292" s="170" t="str">
        <f>IF(AND($B35&lt;&gt;"(***)",OR($C35&lt;&gt;0,$E35&lt;&gt;0)),$B35,"")</f>
        <v xml:space="preserve">משטרת ישראל </v>
      </c>
      <c r="C292" s="326">
        <f t="shared" si="7"/>
        <v>0</v>
      </c>
      <c r="D292" s="743">
        <f t="shared" si="7"/>
        <v>0</v>
      </c>
      <c r="E292" s="326">
        <f t="shared" si="7"/>
        <v>100</v>
      </c>
      <c r="F292" s="743">
        <f t="shared" si="7"/>
        <v>0</v>
      </c>
      <c r="G292" s="690"/>
    </row>
    <row r="293" spans="1:7">
      <c r="A293" s="690">
        <f t="shared" si="8"/>
        <v>0</v>
      </c>
      <c r="B293" s="170" t="str">
        <f>IF(AND($B36&lt;&gt;"(***)",OR($C36&lt;&gt;0,$E36&lt;&gt;0)),$B36,"")</f>
        <v>רשויות מקומיות ומוסדות אחרים</v>
      </c>
      <c r="C293" s="326">
        <f t="shared" si="7"/>
        <v>38</v>
      </c>
      <c r="D293" s="743">
        <f t="shared" si="7"/>
        <v>0</v>
      </c>
      <c r="E293" s="326">
        <f t="shared" si="7"/>
        <v>412</v>
      </c>
      <c r="F293" s="743">
        <f t="shared" si="7"/>
        <v>0</v>
      </c>
      <c r="G293" s="690"/>
    </row>
    <row r="294" spans="1:7">
      <c r="A294" s="690">
        <f t="shared" si="8"/>
        <v>0</v>
      </c>
      <c r="B294" s="170" t="str">
        <f>IF(AND($B37&lt;&gt;"(***)",OR($C37&lt;&gt;0,$E37&lt;&gt;0)),$B37,"")</f>
        <v>הכנסות לקבל</v>
      </c>
      <c r="C294" s="326">
        <f t="shared" si="7"/>
        <v>0</v>
      </c>
      <c r="D294" s="743">
        <f t="shared" si="7"/>
        <v>0</v>
      </c>
      <c r="E294" s="326">
        <f t="shared" si="7"/>
        <v>2</v>
      </c>
      <c r="F294" s="743">
        <f t="shared" si="7"/>
        <v>0</v>
      </c>
      <c r="G294" s="690"/>
    </row>
    <row r="295" spans="1:7">
      <c r="A295" s="690">
        <f t="shared" si="8"/>
        <v>0</v>
      </c>
      <c r="B295" s="170" t="str">
        <f>IF(AND($C38=0,$E38=0),"",$B38)</f>
        <v>חברות כרטיסי אשראי</v>
      </c>
      <c r="C295" s="326">
        <f t="shared" si="7"/>
        <v>10206</v>
      </c>
      <c r="D295" s="743">
        <f t="shared" si="7"/>
        <v>0</v>
      </c>
      <c r="E295" s="326">
        <f t="shared" si="7"/>
        <v>7635</v>
      </c>
      <c r="F295" s="743">
        <f t="shared" si="7"/>
        <v>0</v>
      </c>
      <c r="G295" s="690"/>
    </row>
    <row r="296" spans="1:7" ht="13.8" thickBot="1">
      <c r="A296" s="690">
        <f t="shared" si="8"/>
        <v>0</v>
      </c>
      <c r="B296" s="690">
        <f>B39</f>
        <v>0</v>
      </c>
      <c r="C296" s="759">
        <f t="shared" si="7"/>
        <v>11305</v>
      </c>
      <c r="D296" s="743">
        <f t="shared" si="7"/>
        <v>0</v>
      </c>
      <c r="E296" s="759">
        <f t="shared" si="7"/>
        <v>11150</v>
      </c>
      <c r="F296" s="743">
        <f t="shared" si="7"/>
        <v>0</v>
      </c>
      <c r="G296" s="690"/>
    </row>
    <row r="297" spans="1:7" ht="13.8" thickTop="1">
      <c r="A297" s="690">
        <f t="shared" si="8"/>
        <v>0</v>
      </c>
      <c r="B297" s="690">
        <f>B40</f>
        <v>0</v>
      </c>
      <c r="C297" s="690">
        <f t="shared" si="7"/>
        <v>0</v>
      </c>
      <c r="D297" s="690">
        <f t="shared" si="7"/>
        <v>0</v>
      </c>
      <c r="E297" s="690">
        <f t="shared" si="7"/>
        <v>0</v>
      </c>
      <c r="F297" s="743">
        <f t="shared" si="7"/>
        <v>0</v>
      </c>
      <c r="G297" s="690"/>
    </row>
    <row r="298" spans="1:7">
      <c r="A298" s="755" t="str">
        <f>IF(AND($C304=0,$E304=0),"",A41)</f>
        <v>ג.</v>
      </c>
      <c r="B298" s="752" t="str">
        <f>IF(AND($C304=0,$E304=0),"",B41)</f>
        <v>חייבים - תשלומים לא מתוקצבים</v>
      </c>
      <c r="C298" s="3104">
        <f>IF(AND($C304=0,$E304=0),"",C41)</f>
        <v>2015</v>
      </c>
      <c r="D298" s="754">
        <f t="shared" si="7"/>
        <v>0</v>
      </c>
      <c r="E298" s="3104">
        <f>IF(AND($C304=0,$E304=0),"",E41)</f>
        <v>2014</v>
      </c>
      <c r="F298" s="743">
        <f>F41</f>
        <v>0</v>
      </c>
      <c r="G298" s="690"/>
    </row>
    <row r="299" spans="1:7">
      <c r="A299" s="760">
        <f t="shared" ref="A299:A319" si="10">A42</f>
        <v>0</v>
      </c>
      <c r="B299" s="170" t="str">
        <f>IF(AND($B42&lt;&gt;"(***)",OR($C42&lt;&gt;0,$E42&lt;&gt;0)),$B42,"")</f>
        <v>עובדים</v>
      </c>
      <c r="C299" s="761">
        <f t="shared" si="7"/>
        <v>117</v>
      </c>
      <c r="D299" s="743">
        <f t="shared" si="7"/>
        <v>0</v>
      </c>
      <c r="E299" s="761">
        <f t="shared" si="7"/>
        <v>197</v>
      </c>
      <c r="F299" s="743">
        <f t="shared" si="7"/>
        <v>0</v>
      </c>
      <c r="G299" s="690"/>
    </row>
    <row r="300" spans="1:7">
      <c r="A300" s="760">
        <f t="shared" si="10"/>
        <v>0</v>
      </c>
      <c r="B300" s="170" t="str">
        <f>IF(AND($B43&lt;&gt;"(***)",OR($C43&lt;&gt;0,$E43&lt;&gt;0)),$B43,"")</f>
        <v>תאגידים עירוניים</v>
      </c>
      <c r="C300" s="761">
        <f t="shared" si="7"/>
        <v>914</v>
      </c>
      <c r="D300" s="743">
        <f t="shared" si="7"/>
        <v>0</v>
      </c>
      <c r="E300" s="761">
        <f t="shared" si="7"/>
        <v>76</v>
      </c>
      <c r="F300" s="743">
        <f t="shared" si="7"/>
        <v>0</v>
      </c>
      <c r="G300" s="690"/>
    </row>
    <row r="301" spans="1:7">
      <c r="A301" s="760">
        <f t="shared" si="10"/>
        <v>0</v>
      </c>
      <c r="B301" s="170" t="str">
        <f>IF(AND($B44&lt;&gt;"(***)",OR($C44&lt;&gt;0,$E44&lt;&gt;0)),$B44,"")</f>
        <v>אחרים</v>
      </c>
      <c r="C301" s="761">
        <f t="shared" si="7"/>
        <v>7</v>
      </c>
      <c r="D301" s="743">
        <f t="shared" si="7"/>
        <v>0</v>
      </c>
      <c r="E301" s="761">
        <f t="shared" si="7"/>
        <v>20</v>
      </c>
      <c r="F301" s="743">
        <f t="shared" si="7"/>
        <v>0</v>
      </c>
      <c r="G301" s="690"/>
    </row>
    <row r="302" spans="1:7">
      <c r="A302" s="760">
        <f t="shared" si="10"/>
        <v>0</v>
      </c>
      <c r="B302" s="170" t="str">
        <f>IF(AND($B45&lt;&gt;"(***)",OR($C45&lt;&gt;0,$E45&lt;&gt;0)),$B45,"")</f>
        <v/>
      </c>
      <c r="C302" s="761">
        <f t="shared" si="7"/>
        <v>0</v>
      </c>
      <c r="D302" s="743">
        <f t="shared" si="7"/>
        <v>0</v>
      </c>
      <c r="E302" s="761">
        <f t="shared" si="7"/>
        <v>0</v>
      </c>
      <c r="F302" s="743">
        <f t="shared" si="7"/>
        <v>0</v>
      </c>
      <c r="G302" s="690"/>
    </row>
    <row r="303" spans="1:7">
      <c r="A303" s="690">
        <f t="shared" si="10"/>
        <v>0</v>
      </c>
      <c r="B303" s="170" t="str">
        <f>IF(AND($B46&lt;&gt;"(***)",OR($C46&lt;&gt;0,$E46&lt;&gt;0)),$B46,"")</f>
        <v/>
      </c>
      <c r="C303" s="761">
        <f t="shared" si="7"/>
        <v>0</v>
      </c>
      <c r="D303" s="743">
        <f t="shared" si="7"/>
        <v>0</v>
      </c>
      <c r="E303" s="761">
        <f t="shared" si="7"/>
        <v>0</v>
      </c>
      <c r="F303" s="743">
        <f t="shared" si="7"/>
        <v>0</v>
      </c>
      <c r="G303" s="690"/>
    </row>
    <row r="304" spans="1:7" ht="13.8" thickBot="1">
      <c r="A304" s="690">
        <f t="shared" si="10"/>
        <v>0</v>
      </c>
      <c r="B304" s="690">
        <f t="shared" ref="B304:F307" si="11">B47</f>
        <v>0</v>
      </c>
      <c r="C304" s="759">
        <f t="shared" si="11"/>
        <v>1038</v>
      </c>
      <c r="D304" s="743">
        <f t="shared" si="11"/>
        <v>0</v>
      </c>
      <c r="E304" s="759">
        <f t="shared" si="11"/>
        <v>293</v>
      </c>
      <c r="F304" s="743">
        <f t="shared" si="11"/>
        <v>0</v>
      </c>
      <c r="G304" s="690"/>
    </row>
    <row r="305" spans="1:7" ht="13.8" thickTop="1">
      <c r="A305" s="690">
        <f t="shared" si="10"/>
        <v>0</v>
      </c>
      <c r="B305" s="690">
        <f t="shared" si="11"/>
        <v>0</v>
      </c>
      <c r="C305" s="762">
        <f t="shared" si="11"/>
        <v>0</v>
      </c>
      <c r="D305" s="762">
        <f t="shared" si="11"/>
        <v>0</v>
      </c>
      <c r="E305" s="762">
        <f t="shared" si="11"/>
        <v>0</v>
      </c>
      <c r="F305" s="743">
        <f t="shared" si="11"/>
        <v>0</v>
      </c>
      <c r="G305" s="690"/>
    </row>
    <row r="306" spans="1:7">
      <c r="A306" s="755" t="str">
        <f>IF(AND($C312=0,$E312=0),"",A49)</f>
        <v>ד.</v>
      </c>
      <c r="B306" s="753" t="str">
        <f>IF(AND($C322=0,$E322=0),"",B49)</f>
        <v>השקעות במימון קרנות בלתי מתוקצבות</v>
      </c>
      <c r="C306" s="761">
        <f t="shared" ref="C306:E310" si="12">C49</f>
        <v>0</v>
      </c>
      <c r="D306" s="761">
        <f t="shared" si="12"/>
        <v>0</v>
      </c>
      <c r="E306" s="761">
        <f t="shared" si="12"/>
        <v>0</v>
      </c>
      <c r="F306" s="743">
        <f>F49</f>
        <v>0</v>
      </c>
      <c r="G306" s="690"/>
    </row>
    <row r="307" spans="1:7">
      <c r="A307" s="690">
        <f t="shared" si="10"/>
        <v>0</v>
      </c>
      <c r="B307" s="755" t="str">
        <f>IF(AND($C312=0,$E312=0),"",B50)</f>
        <v>התנועה בקופה מיועדת לכיסוי דמי ניהול פנסיה תקציבית</v>
      </c>
      <c r="C307" s="3104">
        <f>IF(AND($C312=0,$E312=0),"",C50)</f>
        <v>2015</v>
      </c>
      <c r="D307" s="754">
        <f t="shared" si="11"/>
        <v>0</v>
      </c>
      <c r="E307" s="3104">
        <f>IF(AND($C312=0,$E312=0),"",E50)</f>
        <v>2014</v>
      </c>
      <c r="F307" s="743"/>
      <c r="G307" s="690"/>
    </row>
    <row r="308" spans="1:7">
      <c r="A308" s="690">
        <f t="shared" si="10"/>
        <v>0</v>
      </c>
      <c r="B308" s="170" t="str">
        <f t="shared" ref="B308:B312" si="13">IF(AND($C51=0,$E51=0),"",$B51)</f>
        <v>יתרה לתחילת השנה</v>
      </c>
      <c r="C308" s="761">
        <f t="shared" si="12"/>
        <v>7188</v>
      </c>
      <c r="D308" s="754">
        <f t="shared" si="12"/>
        <v>0</v>
      </c>
      <c r="E308" s="761">
        <f t="shared" ref="E308" si="14">E51</f>
        <v>6301</v>
      </c>
      <c r="F308" s="743"/>
      <c r="G308" s="690"/>
    </row>
    <row r="309" spans="1:7">
      <c r="A309" s="690">
        <f t="shared" si="10"/>
        <v>0</v>
      </c>
      <c r="B309" s="170" t="str">
        <f t="shared" si="13"/>
        <v>הפקדות במהלך השנה</v>
      </c>
      <c r="C309" s="761">
        <f t="shared" si="12"/>
        <v>797</v>
      </c>
      <c r="D309" s="754">
        <f t="shared" si="12"/>
        <v>0</v>
      </c>
      <c r="E309" s="761">
        <f t="shared" ref="E309" si="15">E52</f>
        <v>970</v>
      </c>
      <c r="F309" s="743"/>
      <c r="G309" s="690"/>
    </row>
    <row r="310" spans="1:7">
      <c r="A310" s="690">
        <f t="shared" si="10"/>
        <v>0</v>
      </c>
      <c r="B310" s="170" t="str">
        <f t="shared" si="13"/>
        <v>משיכות במהלך השנה</v>
      </c>
      <c r="C310" s="761">
        <f t="shared" si="12"/>
        <v>-619</v>
      </c>
      <c r="D310" s="754">
        <f t="shared" si="12"/>
        <v>0</v>
      </c>
      <c r="E310" s="761">
        <f t="shared" ref="E310" si="16">E53</f>
        <v>-342</v>
      </c>
      <c r="F310" s="743"/>
      <c r="G310" s="690"/>
    </row>
    <row r="311" spans="1:7">
      <c r="A311" s="690">
        <f t="shared" si="10"/>
        <v>0</v>
      </c>
      <c r="B311" s="170" t="str">
        <f t="shared" si="13"/>
        <v>רווח (הפסד) ביעודה השנה</v>
      </c>
      <c r="C311" s="761">
        <f>C54</f>
        <v>89</v>
      </c>
      <c r="D311" s="754">
        <f>D54</f>
        <v>0</v>
      </c>
      <c r="E311" s="761">
        <f t="shared" ref="E311" si="17">E54</f>
        <v>259</v>
      </c>
      <c r="F311" s="743"/>
      <c r="G311" s="690"/>
    </row>
    <row r="312" spans="1:7">
      <c r="A312" s="690">
        <f t="shared" si="10"/>
        <v>0</v>
      </c>
      <c r="B312" s="170" t="str">
        <f t="shared" si="13"/>
        <v>יתרה לסוף השנה</v>
      </c>
      <c r="C312" s="763">
        <f>C55</f>
        <v>7455</v>
      </c>
      <c r="D312" s="754">
        <f t="shared" ref="D312:E312" si="18">D55</f>
        <v>0</v>
      </c>
      <c r="E312" s="763">
        <f t="shared" si="18"/>
        <v>7188</v>
      </c>
      <c r="F312" s="743"/>
      <c r="G312" s="690"/>
    </row>
    <row r="313" spans="1:7">
      <c r="A313" s="690">
        <f t="shared" si="10"/>
        <v>0</v>
      </c>
      <c r="B313" s="755" t="str">
        <f>IF(AND(C317=0,E317=0),"",B56)</f>
        <v>השקעות אחרות</v>
      </c>
      <c r="C313" s="761">
        <f t="shared" ref="C313:D313" si="19">C56</f>
        <v>0</v>
      </c>
      <c r="D313" s="754">
        <f t="shared" si="19"/>
        <v>0</v>
      </c>
      <c r="E313" s="761">
        <f t="shared" ref="E313" si="20">E56</f>
        <v>0</v>
      </c>
      <c r="F313" s="743"/>
      <c r="G313" s="690"/>
    </row>
    <row r="314" spans="1:7">
      <c r="A314" s="690">
        <f t="shared" si="10"/>
        <v>0</v>
      </c>
      <c r="B314" s="170" t="str">
        <f t="shared" ref="B314:B316" si="21">IF(AND($B57&lt;&gt;"(***)",OR($C57&lt;&gt;0,$E57&lt;&gt;0)),$B57,"")</f>
        <v xml:space="preserve">פיקדון קרן מולדובן (250,000 $) </v>
      </c>
      <c r="C314" s="761">
        <f t="shared" ref="C314:D314" si="22">C57</f>
        <v>978</v>
      </c>
      <c r="D314" s="754">
        <f t="shared" si="22"/>
        <v>0</v>
      </c>
      <c r="E314" s="761">
        <f t="shared" ref="E314" si="23">E57</f>
        <v>975</v>
      </c>
      <c r="F314" s="743"/>
      <c r="G314" s="690"/>
    </row>
    <row r="315" spans="1:7">
      <c r="A315" s="690">
        <f t="shared" si="10"/>
        <v>0</v>
      </c>
      <c r="B315" s="170" t="str">
        <f t="shared" si="21"/>
        <v xml:space="preserve">קרן אחזקה שיטתית עמיגור </v>
      </c>
      <c r="C315" s="761">
        <f t="shared" ref="C315:D315" si="24">C58</f>
        <v>384</v>
      </c>
      <c r="D315" s="754">
        <f t="shared" si="24"/>
        <v>0</v>
      </c>
      <c r="E315" s="761">
        <f t="shared" ref="E315" si="25">E58</f>
        <v>331</v>
      </c>
      <c r="F315" s="743"/>
      <c r="G315" s="690"/>
    </row>
    <row r="316" spans="1:7">
      <c r="A316" s="690">
        <f t="shared" si="10"/>
        <v>0</v>
      </c>
      <c r="B316" s="170" t="str">
        <f t="shared" si="21"/>
        <v/>
      </c>
      <c r="C316" s="761">
        <f t="shared" ref="C316:D316" si="26">C59</f>
        <v>0</v>
      </c>
      <c r="D316" s="754">
        <f t="shared" si="26"/>
        <v>0</v>
      </c>
      <c r="E316" s="761">
        <f t="shared" ref="E316" si="27">E59</f>
        <v>0</v>
      </c>
      <c r="F316" s="743"/>
      <c r="G316" s="690"/>
    </row>
    <row r="317" spans="1:7">
      <c r="A317" s="690">
        <f t="shared" si="10"/>
        <v>0</v>
      </c>
      <c r="B317" s="3155">
        <f>B60</f>
        <v>0</v>
      </c>
      <c r="C317" s="763">
        <f t="shared" ref="C317:D319" si="28">C60</f>
        <v>1362</v>
      </c>
      <c r="D317" s="754">
        <f t="shared" si="28"/>
        <v>0</v>
      </c>
      <c r="E317" s="763">
        <f t="shared" ref="E317" si="29">E60</f>
        <v>1306</v>
      </c>
      <c r="F317" s="743"/>
      <c r="G317" s="690"/>
    </row>
    <row r="318" spans="1:7">
      <c r="A318" s="690">
        <f t="shared" si="10"/>
        <v>0</v>
      </c>
      <c r="B318" s="3155">
        <f>B61</f>
        <v>0</v>
      </c>
      <c r="C318" s="761">
        <f t="shared" ref="C318:D318" si="30">C61</f>
        <v>0</v>
      </c>
      <c r="D318" s="754">
        <f t="shared" si="30"/>
        <v>0</v>
      </c>
      <c r="E318" s="761">
        <f t="shared" ref="E318" si="31">E61</f>
        <v>0</v>
      </c>
      <c r="F318" s="743"/>
      <c r="G318" s="690"/>
    </row>
    <row r="319" spans="1:7" ht="13.8" thickBot="1">
      <c r="A319" s="690">
        <f t="shared" si="10"/>
        <v>0</v>
      </c>
      <c r="B319" s="3154" t="str">
        <f>IF(AND($C319=0,$E319=0),"",B62)</f>
        <v>סה"כ השקעות במימון קרנות בלתי מתוקצבות</v>
      </c>
      <c r="C319" s="759">
        <f t="shared" si="28"/>
        <v>8817</v>
      </c>
      <c r="D319" s="754">
        <f t="shared" si="28"/>
        <v>0</v>
      </c>
      <c r="E319" s="759">
        <f t="shared" ref="E319" si="32">E62</f>
        <v>8494</v>
      </c>
      <c r="F319" s="743"/>
      <c r="G319" s="690"/>
    </row>
    <row r="320" spans="1:7" ht="13.8" thickTop="1">
      <c r="A320" s="762">
        <f>A63</f>
        <v>0</v>
      </c>
      <c r="B320" s="762">
        <f>B63</f>
        <v>0</v>
      </c>
      <c r="C320" s="762">
        <f>C63</f>
        <v>0</v>
      </c>
      <c r="D320" s="754">
        <f t="shared" ref="D320" si="33">D63</f>
        <v>0</v>
      </c>
      <c r="E320" s="762">
        <f>E63</f>
        <v>0</v>
      </c>
      <c r="F320" s="743">
        <f>F63</f>
        <v>0</v>
      </c>
      <c r="G320" s="690"/>
    </row>
    <row r="321" spans="1:7">
      <c r="A321" s="754" t="str">
        <f>IF(AND($C337=0,$E337=0),"",A64)</f>
        <v>ה.</v>
      </c>
      <c r="B321" s="753" t="str">
        <f>IF(AND($C337=0,$E337=0),"",B64)</f>
        <v>השקעות במימון קרנות מתוקצבות</v>
      </c>
      <c r="C321" s="762">
        <f t="shared" ref="C321:F337" si="34">C64</f>
        <v>0</v>
      </c>
      <c r="D321" s="762">
        <f t="shared" si="34"/>
        <v>0</v>
      </c>
      <c r="E321" s="762">
        <f t="shared" si="34"/>
        <v>0</v>
      </c>
      <c r="F321" s="743">
        <f t="shared" si="34"/>
        <v>0</v>
      </c>
      <c r="G321" s="690"/>
    </row>
    <row r="322" spans="1:7">
      <c r="A322" s="690">
        <f t="shared" ref="A322:A331" si="35">A65</f>
        <v>0</v>
      </c>
      <c r="B322" s="755" t="str">
        <f>IF(AND($C328=0,$E328=0),"",B65)</f>
        <v>תאגידים עירוניים</v>
      </c>
      <c r="C322" s="3104">
        <f>IF(AND($C328=0,$E328=0),"",C65)</f>
        <v>2015</v>
      </c>
      <c r="D322" s="754">
        <f t="shared" si="34"/>
        <v>0</v>
      </c>
      <c r="E322" s="3104">
        <f>IF(AND($C328=0,$E328=0),"",E65)</f>
        <v>2014</v>
      </c>
      <c r="F322" s="743">
        <f>F65</f>
        <v>0</v>
      </c>
      <c r="G322" s="690"/>
    </row>
    <row r="323" spans="1:7">
      <c r="A323" s="690">
        <f t="shared" si="35"/>
        <v>0</v>
      </c>
      <c r="B323" s="170" t="str">
        <f>IF(AND($B66&lt;&gt;"(***)",OR($C66&lt;&gt;0,$E66&lt;&gt;0)),$B66,"")</f>
        <v xml:space="preserve">מניות בחברה העירונית לפיתוח התיירות בהרצליה בע"מ </v>
      </c>
      <c r="C323" s="326">
        <f t="shared" si="34"/>
        <v>29410</v>
      </c>
      <c r="D323" s="762">
        <f t="shared" si="34"/>
        <v>0</v>
      </c>
      <c r="E323" s="761">
        <f t="shared" si="34"/>
        <v>29410</v>
      </c>
      <c r="F323" s="743">
        <f t="shared" si="34"/>
        <v>0</v>
      </c>
      <c r="G323" s="690"/>
    </row>
    <row r="324" spans="1:7">
      <c r="A324" s="690">
        <f t="shared" si="35"/>
        <v>0</v>
      </c>
      <c r="B324" s="170" t="str">
        <f>IF(AND($B67&lt;&gt;"(***)",OR($C67&lt;&gt;0,$E67&lt;&gt;0)),$B67,"")</f>
        <v xml:space="preserve">מניות בחברה לפיתוח הרצליה בע"מ </v>
      </c>
      <c r="C324" s="326">
        <f t="shared" si="34"/>
        <v>2053</v>
      </c>
      <c r="D324" s="762">
        <f t="shared" si="34"/>
        <v>0</v>
      </c>
      <c r="E324" s="326">
        <f t="shared" si="34"/>
        <v>2053</v>
      </c>
      <c r="F324" s="743">
        <f t="shared" si="34"/>
        <v>0</v>
      </c>
      <c r="G324" s="690"/>
    </row>
    <row r="325" spans="1:7">
      <c r="A325" s="690">
        <f t="shared" si="35"/>
        <v>0</v>
      </c>
      <c r="B325" s="170" t="str">
        <f>IF(AND($B68&lt;&gt;"(***)",OR($C68&lt;&gt;0,$E68&lt;&gt;0)),$B68,"")</f>
        <v xml:space="preserve">מניות בחברה מי הרצליה בע"מ </v>
      </c>
      <c r="C325" s="326">
        <f t="shared" si="34"/>
        <v>136959</v>
      </c>
      <c r="D325" s="762">
        <f t="shared" si="34"/>
        <v>0</v>
      </c>
      <c r="E325" s="326">
        <f t="shared" si="34"/>
        <v>136959</v>
      </c>
      <c r="F325" s="743">
        <f t="shared" si="34"/>
        <v>0</v>
      </c>
      <c r="G325" s="690"/>
    </row>
    <row r="326" spans="1:7">
      <c r="A326" s="690">
        <f t="shared" si="35"/>
        <v>0</v>
      </c>
      <c r="B326" s="170" t="str">
        <f>IF(AND($B69&lt;&gt;"(***)",OR($C69&lt;&gt;0,$E69&lt;&gt;0)),$B69,"")</f>
        <v xml:space="preserve">שטר הון בחברה מי הרצליה בע"מ </v>
      </c>
      <c r="C326" s="326">
        <f t="shared" si="34"/>
        <v>11173</v>
      </c>
      <c r="D326" s="762">
        <f t="shared" si="34"/>
        <v>0</v>
      </c>
      <c r="E326" s="326">
        <f t="shared" si="34"/>
        <v>11173</v>
      </c>
      <c r="F326" s="743">
        <f t="shared" si="34"/>
        <v>0</v>
      </c>
      <c r="G326" s="690"/>
    </row>
    <row r="327" spans="1:7">
      <c r="A327" s="690">
        <f t="shared" si="35"/>
        <v>0</v>
      </c>
      <c r="B327" s="170" t="str">
        <f>IF(AND($B70&lt;&gt;"(***)",OR($C70&lt;&gt;0,$E70&lt;&gt;0)),$B70,"")</f>
        <v xml:space="preserve">הלוואה מרכז הקהילתי לספורט תרבות ונופש הרצליה </v>
      </c>
      <c r="C327" s="326">
        <f t="shared" si="34"/>
        <v>156</v>
      </c>
      <c r="D327" s="762">
        <f t="shared" si="34"/>
        <v>0</v>
      </c>
      <c r="E327" s="326">
        <f t="shared" si="34"/>
        <v>155</v>
      </c>
      <c r="F327" s="743">
        <f t="shared" si="34"/>
        <v>0</v>
      </c>
      <c r="G327" s="690"/>
    </row>
    <row r="328" spans="1:7">
      <c r="A328" s="690">
        <f t="shared" si="35"/>
        <v>0</v>
      </c>
      <c r="B328" s="297">
        <f>B71</f>
        <v>0</v>
      </c>
      <c r="C328" s="763">
        <f t="shared" si="34"/>
        <v>179751</v>
      </c>
      <c r="D328" s="762">
        <f t="shared" si="34"/>
        <v>0</v>
      </c>
      <c r="E328" s="763">
        <f t="shared" si="34"/>
        <v>179750</v>
      </c>
      <c r="F328" s="743">
        <f t="shared" si="34"/>
        <v>0</v>
      </c>
      <c r="G328" s="690"/>
    </row>
    <row r="329" spans="1:7">
      <c r="A329" s="690">
        <f t="shared" si="35"/>
        <v>0</v>
      </c>
      <c r="B329" s="755" t="str">
        <f>IF(AND(C335=0,E335=0),"",B72)</f>
        <v>השקעות אחרות</v>
      </c>
      <c r="C329" s="764">
        <f t="shared" si="34"/>
        <v>0</v>
      </c>
      <c r="D329" s="762">
        <f t="shared" si="34"/>
        <v>0</v>
      </c>
      <c r="E329" s="764">
        <f t="shared" si="34"/>
        <v>0</v>
      </c>
      <c r="F329" s="743">
        <f t="shared" si="34"/>
        <v>0</v>
      </c>
      <c r="G329" s="690"/>
    </row>
    <row r="330" spans="1:7">
      <c r="A330" s="690">
        <f t="shared" si="35"/>
        <v>0</v>
      </c>
      <c r="B330" s="170" t="str">
        <f>IF(AND($B73&lt;&gt;"(***)",OR($C73&lt;&gt;0,$E73&lt;&gt;0)),$B73,"")</f>
        <v xml:space="preserve">ניירות ערך בלתי סחירים </v>
      </c>
      <c r="C330" s="326">
        <f t="shared" si="34"/>
        <v>162</v>
      </c>
      <c r="D330" s="762">
        <f t="shared" si="34"/>
        <v>0</v>
      </c>
      <c r="E330" s="326">
        <f t="shared" si="34"/>
        <v>162</v>
      </c>
      <c r="F330" s="743">
        <f t="shared" si="34"/>
        <v>0</v>
      </c>
      <c r="G330" s="690"/>
    </row>
    <row r="331" spans="1:7">
      <c r="A331" s="690">
        <f t="shared" si="35"/>
        <v>0</v>
      </c>
      <c r="B331" s="170" t="str">
        <f>IF(AND($B74&lt;&gt;"(***)",OR($C74&lt;&gt;0,$E74&lt;&gt;0)),$B74,"")</f>
        <v>מלאי- מחסן לא מתוקצב</v>
      </c>
      <c r="C331" s="326">
        <f t="shared" si="34"/>
        <v>355</v>
      </c>
      <c r="D331" s="762">
        <f t="shared" si="34"/>
        <v>0</v>
      </c>
      <c r="E331" s="326">
        <f t="shared" si="34"/>
        <v>307</v>
      </c>
      <c r="F331" s="743">
        <f t="shared" si="34"/>
        <v>0</v>
      </c>
      <c r="G331" s="690"/>
    </row>
    <row r="332" spans="1:7">
      <c r="A332" s="690" t="str">
        <f t="shared" ref="A332:A338" si="36">A75</f>
        <v xml:space="preserve"> </v>
      </c>
      <c r="B332" s="170" t="str">
        <f>IF(AND($B75&lt;&gt;"(***)",OR($C75&lt;&gt;0,$E75&lt;&gt;0)),$B75,"")</f>
        <v xml:space="preserve">מלאי דלק- מחסן לא מתוקצב </v>
      </c>
      <c r="C332" s="326">
        <f t="shared" si="34"/>
        <v>118</v>
      </c>
      <c r="D332" s="762">
        <f t="shared" si="34"/>
        <v>0</v>
      </c>
      <c r="E332" s="326">
        <f t="shared" si="34"/>
        <v>84</v>
      </c>
      <c r="F332" s="743">
        <f t="shared" si="34"/>
        <v>0</v>
      </c>
      <c r="G332" s="690"/>
    </row>
    <row r="333" spans="1:7">
      <c r="A333" s="690">
        <f t="shared" si="36"/>
        <v>0</v>
      </c>
      <c r="B333" s="170" t="str">
        <f>IF(AND($B76&lt;&gt;"(***)",OR($C76&lt;&gt;0,$E76&lt;&gt;0)),$B76,"")</f>
        <v>הלוואות לעובדים ונזקקים</v>
      </c>
      <c r="C333" s="326">
        <f t="shared" si="34"/>
        <v>524</v>
      </c>
      <c r="D333" s="762">
        <f t="shared" si="34"/>
        <v>0</v>
      </c>
      <c r="E333" s="326">
        <f t="shared" si="34"/>
        <v>442</v>
      </c>
      <c r="F333" s="743">
        <f t="shared" si="34"/>
        <v>0</v>
      </c>
      <c r="G333" s="690"/>
    </row>
    <row r="334" spans="1:7">
      <c r="A334" s="690">
        <f t="shared" si="36"/>
        <v>0</v>
      </c>
      <c r="B334" s="170" t="str">
        <f>IF(AND($B77&lt;&gt;"(***)",OR($C77&lt;&gt;0,$E77&lt;&gt;0)),$B77,"")</f>
        <v/>
      </c>
      <c r="C334" s="326">
        <f t="shared" si="34"/>
        <v>0</v>
      </c>
      <c r="D334" s="762">
        <f t="shared" si="34"/>
        <v>0</v>
      </c>
      <c r="E334" s="326">
        <f t="shared" si="34"/>
        <v>0</v>
      </c>
      <c r="F334" s="743">
        <f t="shared" si="34"/>
        <v>0</v>
      </c>
      <c r="G334" s="690"/>
    </row>
    <row r="335" spans="1:7">
      <c r="A335" s="690">
        <f t="shared" si="36"/>
        <v>0</v>
      </c>
      <c r="B335" s="690">
        <f>B78</f>
        <v>0</v>
      </c>
      <c r="C335" s="763">
        <f t="shared" si="34"/>
        <v>1159</v>
      </c>
      <c r="D335" s="762">
        <f t="shared" si="34"/>
        <v>0</v>
      </c>
      <c r="E335" s="763">
        <f t="shared" si="34"/>
        <v>995</v>
      </c>
      <c r="F335" s="743">
        <f t="shared" si="34"/>
        <v>0</v>
      </c>
    </row>
    <row r="336" spans="1:7">
      <c r="A336" s="690">
        <f t="shared" si="36"/>
        <v>0</v>
      </c>
      <c r="B336" s="690">
        <f>B79</f>
        <v>0</v>
      </c>
      <c r="C336" s="762">
        <f t="shared" si="34"/>
        <v>0</v>
      </c>
      <c r="D336" s="762">
        <f t="shared" si="34"/>
        <v>0</v>
      </c>
      <c r="E336" s="762">
        <f t="shared" si="34"/>
        <v>0</v>
      </c>
      <c r="F336" s="743">
        <f t="shared" si="34"/>
        <v>0</v>
      </c>
    </row>
    <row r="337" spans="1:9" ht="13.8" thickBot="1">
      <c r="A337" s="690">
        <f t="shared" si="36"/>
        <v>0</v>
      </c>
      <c r="B337" s="291" t="str">
        <f>IF(AND($C337=0,$E337=0),"",B80)</f>
        <v>סה"כ השקעות במימון קרנות מתוקצבות</v>
      </c>
      <c r="C337" s="759">
        <f t="shared" si="34"/>
        <v>180910</v>
      </c>
      <c r="D337" s="761">
        <f t="shared" si="34"/>
        <v>0</v>
      </c>
      <c r="E337" s="759">
        <f t="shared" si="34"/>
        <v>180745</v>
      </c>
      <c r="F337" s="743">
        <f t="shared" si="34"/>
        <v>0</v>
      </c>
    </row>
    <row r="338" spans="1:9" ht="13.8" thickTop="1">
      <c r="A338" s="690">
        <f t="shared" si="36"/>
        <v>0</v>
      </c>
      <c r="B338" s="690">
        <f>B81</f>
        <v>0</v>
      </c>
      <c r="C338" s="762">
        <f>C81</f>
        <v>0</v>
      </c>
      <c r="D338" s="762">
        <f>D81</f>
        <v>0</v>
      </c>
      <c r="E338" s="762">
        <f>E81</f>
        <v>0</v>
      </c>
      <c r="F338" s="743">
        <f>F81</f>
        <v>0</v>
      </c>
    </row>
    <row r="339" spans="1:9" ht="24.75" customHeight="1">
      <c r="A339" s="755" t="str">
        <f>IF(AND($C343=0,$E343=0),"",A82)</f>
        <v>ו.</v>
      </c>
      <c r="B339" s="752" t="str">
        <f>IF(AND($C343=0,$E343=0),"",B82)</f>
        <v>בנקים משיכות יתר</v>
      </c>
      <c r="C339" s="3104">
        <f>IF(OR($C$343&lt;&gt;0,$E$343&lt;&gt;0),C82,0)</f>
        <v>2015</v>
      </c>
      <c r="D339" s="754">
        <f t="shared" ref="D339:D351" si="37">D82</f>
        <v>0</v>
      </c>
      <c r="E339" s="3104">
        <f>IF(OR($C$343&lt;&gt;0,$E$343&lt;&gt;0),E82,0)</f>
        <v>2014</v>
      </c>
      <c r="F339" s="743">
        <f t="shared" ref="F339:F351" si="38">F82</f>
        <v>0</v>
      </c>
    </row>
    <row r="340" spans="1:9">
      <c r="A340" s="690">
        <f>A83</f>
        <v>0</v>
      </c>
      <c r="B340" s="170" t="str">
        <f>IF(AND($C83=0,$E83=0),"",$B83)</f>
        <v>בנקים מסחריים</v>
      </c>
      <c r="C340" s="326">
        <f t="shared" ref="C340:C345" si="39">C83</f>
        <v>8</v>
      </c>
      <c r="D340" s="761">
        <f t="shared" si="37"/>
        <v>0</v>
      </c>
      <c r="E340" s="326">
        <f t="shared" ref="E340:E345" si="40">E83</f>
        <v>41</v>
      </c>
      <c r="F340" s="743">
        <f t="shared" si="38"/>
        <v>0</v>
      </c>
    </row>
    <row r="341" spans="1:9">
      <c r="A341" s="690">
        <f>A84</f>
        <v>0</v>
      </c>
      <c r="B341" s="170" t="str">
        <f>IF(AND($B84&lt;&gt;"(***)",OR($C84&lt;&gt;0,$E84&lt;&gt;0)),$B84,"")</f>
        <v/>
      </c>
      <c r="C341" s="326">
        <f t="shared" si="39"/>
        <v>0</v>
      </c>
      <c r="D341" s="761">
        <f t="shared" si="37"/>
        <v>0</v>
      </c>
      <c r="E341" s="326">
        <f t="shared" si="40"/>
        <v>0</v>
      </c>
      <c r="F341" s="743">
        <f t="shared" si="38"/>
        <v>0</v>
      </c>
      <c r="I341" s="2067"/>
    </row>
    <row r="342" spans="1:9">
      <c r="A342" s="690">
        <f>A85</f>
        <v>0</v>
      </c>
      <c r="B342" s="170" t="str">
        <f>IF(AND($B85&lt;&gt;"(***)",OR($C85&lt;&gt;0,$E85&lt;&gt;0)),$B85,"")</f>
        <v/>
      </c>
      <c r="C342" s="326">
        <f t="shared" si="39"/>
        <v>0</v>
      </c>
      <c r="D342" s="761">
        <f t="shared" si="37"/>
        <v>0</v>
      </c>
      <c r="E342" s="326">
        <f t="shared" si="40"/>
        <v>0</v>
      </c>
      <c r="F342" s="743">
        <f t="shared" si="38"/>
        <v>0</v>
      </c>
    </row>
    <row r="343" spans="1:9" ht="13.8" thickBot="1">
      <c r="A343" s="690">
        <f>A86</f>
        <v>0</v>
      </c>
      <c r="B343" s="690">
        <f>B86</f>
        <v>0</v>
      </c>
      <c r="C343" s="759">
        <f t="shared" si="39"/>
        <v>8</v>
      </c>
      <c r="D343" s="761">
        <f t="shared" si="37"/>
        <v>0</v>
      </c>
      <c r="E343" s="759">
        <f t="shared" si="40"/>
        <v>41</v>
      </c>
      <c r="F343" s="743">
        <f t="shared" si="38"/>
        <v>0</v>
      </c>
    </row>
    <row r="344" spans="1:9" ht="13.8" thickTop="1">
      <c r="A344" s="690">
        <f>A87</f>
        <v>0</v>
      </c>
      <c r="B344" s="690">
        <f>B87</f>
        <v>0</v>
      </c>
      <c r="C344" s="761">
        <f t="shared" si="39"/>
        <v>0</v>
      </c>
      <c r="D344" s="761">
        <f t="shared" si="37"/>
        <v>0</v>
      </c>
      <c r="E344" s="761">
        <f t="shared" si="40"/>
        <v>0</v>
      </c>
      <c r="F344" s="743">
        <f t="shared" si="38"/>
        <v>0</v>
      </c>
    </row>
    <row r="345" spans="1:9">
      <c r="A345" s="755" t="str">
        <f>IF(AND($C355=0,$E355=0),"",A88)</f>
        <v>ז.</v>
      </c>
      <c r="B345" s="752" t="str">
        <f>IF(AND($C355=0,$E355=0),"",B88)</f>
        <v>הוצאות מתוקצבות שטרם שולמו</v>
      </c>
      <c r="C345" s="761">
        <f t="shared" si="39"/>
        <v>0</v>
      </c>
      <c r="D345" s="761">
        <f t="shared" si="37"/>
        <v>0</v>
      </c>
      <c r="E345" s="761">
        <f t="shared" si="40"/>
        <v>0</v>
      </c>
      <c r="F345" s="743">
        <f t="shared" si="38"/>
        <v>0</v>
      </c>
    </row>
    <row r="346" spans="1:9" ht="24.75" customHeight="1">
      <c r="A346" s="690">
        <f>A89</f>
        <v>0</v>
      </c>
      <c r="B346" s="690">
        <f>B89</f>
        <v>0</v>
      </c>
      <c r="C346" s="3104">
        <f>IF(AND($C$355=0,$E$355=0,$C$366=0,$E$366=0,$C$389=0,$E$389=0,$C$397=0,$E$397=0,$C$403=0,$E$403=0,$C$405=0,$E$405=0),0,C89)</f>
        <v>2015</v>
      </c>
      <c r="D346" s="754">
        <f t="shared" si="37"/>
        <v>0</v>
      </c>
      <c r="E346" s="3104">
        <f>IF(AND($C$355=0,$E$355=0,$C$366=0,$E$366=0,$C$389=0,$E$389=0,$C$397=0,$E$397=0,$C$403=0,$E$403=0,$C$405=0,$E$405=0),0,E89)</f>
        <v>2014</v>
      </c>
      <c r="F346" s="743">
        <f t="shared" si="38"/>
        <v>0</v>
      </c>
    </row>
    <row r="347" spans="1:9">
      <c r="A347" s="690">
        <f>A90</f>
        <v>0</v>
      </c>
      <c r="B347" s="170" t="str">
        <f>IF(AND($C90=0,$E90=0),"",$B90)</f>
        <v>ספקים, קבלנים ונותני שרותים</v>
      </c>
      <c r="C347" s="761">
        <f>C90</f>
        <v>64818</v>
      </c>
      <c r="D347" s="761">
        <f t="shared" si="37"/>
        <v>0</v>
      </c>
      <c r="E347" s="761">
        <f>E90</f>
        <v>66508</v>
      </c>
      <c r="F347" s="743">
        <f t="shared" si="38"/>
        <v>0</v>
      </c>
    </row>
    <row r="348" spans="1:9">
      <c r="A348" s="690">
        <f>A91</f>
        <v>0</v>
      </c>
      <c r="B348" s="170" t="str">
        <f>IF(AND($C91=0,$E91=0),"",$B91)</f>
        <v>עובדים וניכויים לשלם</v>
      </c>
      <c r="C348" s="761">
        <f>C91</f>
        <v>16120</v>
      </c>
      <c r="D348" s="761">
        <f t="shared" si="37"/>
        <v>0</v>
      </c>
      <c r="E348" s="761">
        <f>E91</f>
        <v>14304</v>
      </c>
      <c r="F348" s="743">
        <f t="shared" si="38"/>
        <v>0</v>
      </c>
    </row>
    <row r="349" spans="1:9">
      <c r="A349" s="690">
        <f>A92</f>
        <v>0</v>
      </c>
      <c r="B349" s="170" t="str">
        <f>IF(AND($C92=0,$E92=0),"",$B92)</f>
        <v>מוסדות וזכאים שונים</v>
      </c>
      <c r="C349" s="761">
        <f>C92</f>
        <v>50178</v>
      </c>
      <c r="D349" s="761">
        <f t="shared" si="37"/>
        <v>0</v>
      </c>
      <c r="E349" s="761">
        <f>E92</f>
        <v>45903</v>
      </c>
      <c r="F349" s="743">
        <f t="shared" si="38"/>
        <v>0</v>
      </c>
    </row>
    <row r="350" spans="1:9">
      <c r="A350" s="690">
        <f>A93</f>
        <v>0</v>
      </c>
      <c r="B350" s="170" t="str">
        <f>IF(AND($B93&lt;&gt;"(***)",OR($C93&lt;&gt;0,$E93&lt;&gt;0)),$B93,"")</f>
        <v/>
      </c>
      <c r="C350" s="326">
        <f>C93</f>
        <v>0</v>
      </c>
      <c r="D350" s="761">
        <f t="shared" si="37"/>
        <v>0</v>
      </c>
      <c r="E350" s="326">
        <f>E93</f>
        <v>0</v>
      </c>
      <c r="F350" s="743">
        <f t="shared" si="38"/>
        <v>0</v>
      </c>
    </row>
    <row r="351" spans="1:9">
      <c r="A351" s="690">
        <f>A94</f>
        <v>0</v>
      </c>
      <c r="B351" s="170" t="str">
        <f>IF(AND($B94&lt;&gt;"(***)",OR($C94&lt;&gt;0,$E94&lt;&gt;0)),$B94,"")</f>
        <v>הפרשה להתחייבויות תלויות (ראה ביאור 19)</v>
      </c>
      <c r="C351" s="326">
        <f>C94</f>
        <v>73294</v>
      </c>
      <c r="D351" s="761">
        <f t="shared" si="37"/>
        <v>0</v>
      </c>
      <c r="E351" s="326">
        <f>E94</f>
        <v>68505</v>
      </c>
      <c r="F351" s="743">
        <f t="shared" si="38"/>
        <v>0</v>
      </c>
    </row>
    <row r="352" spans="1:9">
      <c r="A352" s="690">
        <f t="shared" ref="A352:A364" si="41">A95</f>
        <v>0</v>
      </c>
      <c r="B352" s="170" t="str">
        <f>IF(AND($B95&lt;&gt;"(***)",OR($C95&lt;&gt;0,$E95&lt;&gt;0)),$B95,"")</f>
        <v>תאגידים עירוניים</v>
      </c>
      <c r="C352" s="326">
        <f t="shared" ref="C352:F358" si="42">C95</f>
        <v>19011</v>
      </c>
      <c r="D352" s="761">
        <f t="shared" si="42"/>
        <v>0</v>
      </c>
      <c r="E352" s="326">
        <f t="shared" si="42"/>
        <v>15161</v>
      </c>
      <c r="F352" s="743">
        <f t="shared" si="42"/>
        <v>0</v>
      </c>
      <c r="G352" s="690"/>
    </row>
    <row r="353" spans="1:7">
      <c r="A353" s="690">
        <f t="shared" si="41"/>
        <v>0</v>
      </c>
      <c r="B353" s="170" t="str">
        <f>IF(AND($B96&lt;&gt;"(***)",OR($C96&lt;&gt;0,$E96&lt;&gt;0)),$B96,"")</f>
        <v xml:space="preserve">מתנסי"ם </v>
      </c>
      <c r="C353" s="326">
        <f t="shared" si="42"/>
        <v>1034</v>
      </c>
      <c r="D353" s="761">
        <f t="shared" si="42"/>
        <v>0</v>
      </c>
      <c r="E353" s="326">
        <f t="shared" si="42"/>
        <v>610</v>
      </c>
      <c r="F353" s="743">
        <f t="shared" si="42"/>
        <v>0</v>
      </c>
      <c r="G353" s="690"/>
    </row>
    <row r="354" spans="1:7">
      <c r="A354" s="690">
        <f t="shared" si="41"/>
        <v>0</v>
      </c>
      <c r="B354" s="170" t="str">
        <f>IF(AND($B97&lt;&gt;"(***)",OR($C97&lt;&gt;0,$E97&lt;&gt;0)),$B97,"")</f>
        <v/>
      </c>
      <c r="C354" s="326">
        <f t="shared" si="42"/>
        <v>0</v>
      </c>
      <c r="D354" s="761">
        <f t="shared" si="42"/>
        <v>0</v>
      </c>
      <c r="E354" s="326">
        <f t="shared" si="42"/>
        <v>0</v>
      </c>
      <c r="F354" s="743">
        <f t="shared" si="42"/>
        <v>0</v>
      </c>
      <c r="G354" s="690"/>
    </row>
    <row r="355" spans="1:7" ht="13.8" thickBot="1">
      <c r="A355" s="690">
        <f t="shared" si="41"/>
        <v>0</v>
      </c>
      <c r="B355" s="690">
        <f>B98</f>
        <v>0</v>
      </c>
      <c r="C355" s="759">
        <f t="shared" si="42"/>
        <v>224455</v>
      </c>
      <c r="D355" s="761">
        <f t="shared" si="42"/>
        <v>0</v>
      </c>
      <c r="E355" s="759">
        <f t="shared" si="42"/>
        <v>210991</v>
      </c>
      <c r="F355" s="743" t="str">
        <f t="shared" si="42"/>
        <v xml:space="preserve"> </v>
      </c>
      <c r="G355" s="690"/>
    </row>
    <row r="356" spans="1:7" ht="13.8" thickTop="1">
      <c r="A356" s="690">
        <f t="shared" si="41"/>
        <v>0</v>
      </c>
      <c r="B356" s="690">
        <f>B99</f>
        <v>0</v>
      </c>
      <c r="C356" s="761">
        <f t="shared" si="42"/>
        <v>0</v>
      </c>
      <c r="D356" s="761">
        <f t="shared" si="42"/>
        <v>0</v>
      </c>
      <c r="E356" s="761">
        <f t="shared" si="42"/>
        <v>0</v>
      </c>
      <c r="F356" s="743">
        <f t="shared" si="42"/>
        <v>0</v>
      </c>
      <c r="G356" s="690"/>
    </row>
    <row r="357" spans="1:7" ht="24" customHeight="1">
      <c r="A357" s="755" t="str">
        <f>IF(AND($C366=0,$E366=0),"",A100)</f>
        <v>ח.</v>
      </c>
      <c r="B357" s="752" t="str">
        <f>IF(AND($C366=0,$E366=0),"",B100)</f>
        <v>תקבולים לא מתוקצבים - פקדונות והכנסות מראש</v>
      </c>
      <c r="C357" s="3104">
        <f>IF(OR($C$366&lt;&gt;0,$E$366&lt;&gt;0,),C100,0)</f>
        <v>2015</v>
      </c>
      <c r="D357" s="754">
        <f t="shared" si="42"/>
        <v>0</v>
      </c>
      <c r="E357" s="3104">
        <f>IF(OR($C$366&lt;&gt;0,$E$366&lt;&gt;0,),E100,0)</f>
        <v>2014</v>
      </c>
      <c r="F357" s="743">
        <f t="shared" si="42"/>
        <v>0</v>
      </c>
      <c r="G357" s="690"/>
    </row>
    <row r="358" spans="1:7">
      <c r="A358" s="690">
        <f t="shared" si="41"/>
        <v>0</v>
      </c>
      <c r="B358" s="170" t="str">
        <f>IF(AND($C101=0,$E101=0),"",$B101)</f>
        <v/>
      </c>
      <c r="C358" s="761">
        <f t="shared" si="42"/>
        <v>0</v>
      </c>
      <c r="D358" s="761">
        <f t="shared" si="42"/>
        <v>0</v>
      </c>
      <c r="E358" s="761">
        <f t="shared" si="42"/>
        <v>0</v>
      </c>
      <c r="F358" s="743">
        <f t="shared" si="42"/>
        <v>0</v>
      </c>
      <c r="G358" s="690"/>
    </row>
    <row r="359" spans="1:7">
      <c r="A359" s="690">
        <f t="shared" si="41"/>
        <v>0</v>
      </c>
      <c r="B359" s="170" t="str">
        <f t="shared" ref="B359:B364" si="43">IF(AND($B102&lt;&gt;"(***)",OR($C102&lt;&gt;0,$E102&lt;&gt;0)),$B102,"")</f>
        <v>תקבולים בגין חכירה וזכיונות</v>
      </c>
      <c r="C359" s="761">
        <f t="shared" ref="C359:F363" si="44">C102</f>
        <v>1188</v>
      </c>
      <c r="D359" s="761">
        <f t="shared" si="44"/>
        <v>0</v>
      </c>
      <c r="E359" s="761">
        <f t="shared" si="44"/>
        <v>93</v>
      </c>
      <c r="F359" s="743">
        <f t="shared" si="44"/>
        <v>0</v>
      </c>
      <c r="G359" s="690"/>
    </row>
    <row r="360" spans="1:7">
      <c r="A360" s="690">
        <f t="shared" si="41"/>
        <v>0</v>
      </c>
      <c r="B360" s="170" t="str">
        <f t="shared" si="43"/>
        <v xml:space="preserve">פקדונות ממינויי ספריות </v>
      </c>
      <c r="C360" s="761">
        <f t="shared" si="44"/>
        <v>817</v>
      </c>
      <c r="D360" s="761">
        <f t="shared" si="44"/>
        <v>0</v>
      </c>
      <c r="E360" s="761">
        <f t="shared" si="44"/>
        <v>851</v>
      </c>
      <c r="F360" s="743">
        <f t="shared" si="44"/>
        <v>0</v>
      </c>
      <c r="G360" s="690"/>
    </row>
    <row r="361" spans="1:7">
      <c r="A361" s="690">
        <f t="shared" si="41"/>
        <v>0</v>
      </c>
      <c r="B361" s="170" t="str">
        <f t="shared" si="43"/>
        <v>תקבולים במעבר מתושבים עבור שירותי חינוך ורווחה ספציפים</v>
      </c>
      <c r="C361" s="761">
        <f t="shared" si="44"/>
        <v>1856</v>
      </c>
      <c r="D361" s="761">
        <f t="shared" si="44"/>
        <v>0</v>
      </c>
      <c r="E361" s="761">
        <f t="shared" si="44"/>
        <v>1587</v>
      </c>
      <c r="F361" s="743">
        <f t="shared" si="44"/>
        <v>0</v>
      </c>
      <c r="G361" s="690"/>
    </row>
    <row r="362" spans="1:7">
      <c r="A362" s="690">
        <f t="shared" si="41"/>
        <v>0</v>
      </c>
      <c r="B362" s="170" t="str">
        <f t="shared" si="43"/>
        <v>תרומות מיועדות (רווחה)</v>
      </c>
      <c r="C362" s="761">
        <f t="shared" si="44"/>
        <v>4</v>
      </c>
      <c r="D362" s="761">
        <f t="shared" si="44"/>
        <v>0</v>
      </c>
      <c r="E362" s="761">
        <f t="shared" si="44"/>
        <v>4</v>
      </c>
      <c r="F362" s="743">
        <f t="shared" si="44"/>
        <v>0</v>
      </c>
      <c r="G362" s="690"/>
    </row>
    <row r="363" spans="1:7">
      <c r="A363" s="690">
        <f t="shared" si="41"/>
        <v>0</v>
      </c>
      <c r="B363" s="170" t="str">
        <f t="shared" si="43"/>
        <v>פקדונות שונים</v>
      </c>
      <c r="C363" s="761">
        <f t="shared" si="44"/>
        <v>4409</v>
      </c>
      <c r="D363" s="761">
        <f t="shared" si="44"/>
        <v>0</v>
      </c>
      <c r="E363" s="761">
        <f t="shared" si="44"/>
        <v>3864</v>
      </c>
      <c r="F363" s="743">
        <f t="shared" si="44"/>
        <v>0</v>
      </c>
      <c r="G363" s="690"/>
    </row>
    <row r="364" spans="1:7" ht="12" customHeight="1">
      <c r="A364" s="690">
        <f t="shared" si="41"/>
        <v>0</v>
      </c>
      <c r="B364" s="170" t="str">
        <f t="shared" si="43"/>
        <v xml:space="preserve">אחרים </v>
      </c>
      <c r="C364" s="761">
        <f>C107</f>
        <v>1957</v>
      </c>
      <c r="D364" s="761">
        <f>D107</f>
        <v>0</v>
      </c>
      <c r="E364" s="761">
        <f>E107</f>
        <v>1017</v>
      </c>
      <c r="F364" s="743">
        <f>F107</f>
        <v>0</v>
      </c>
      <c r="G364" s="690"/>
    </row>
    <row r="365" spans="1:7" ht="12" hidden="1" customHeight="1">
      <c r="B365" s="170"/>
      <c r="C365" s="761"/>
      <c r="D365" s="761"/>
      <c r="E365" s="761"/>
      <c r="F365" s="743"/>
      <c r="G365" s="690"/>
    </row>
    <row r="366" spans="1:7" ht="12" customHeight="1" thickBot="1">
      <c r="A366" s="690">
        <f>A108</f>
        <v>0</v>
      </c>
      <c r="B366" s="690">
        <f>IF(AND($B108&lt;&gt;"(***)",OR($C108&lt;&gt;0,$E108&lt;&gt;0)),$B108,"")</f>
        <v>0</v>
      </c>
      <c r="C366" s="759">
        <f>C108</f>
        <v>10231</v>
      </c>
      <c r="D366" s="761">
        <f>D108</f>
        <v>0</v>
      </c>
      <c r="E366" s="759">
        <f>E108</f>
        <v>7416</v>
      </c>
      <c r="F366" s="743">
        <f>F108</f>
        <v>0</v>
      </c>
      <c r="G366" s="690"/>
    </row>
    <row r="367" spans="1:7" ht="13.8" thickTop="1">
      <c r="A367" s="755">
        <f>IF(AND($C373=0,$E373=0),"",A111)</f>
        <v>0</v>
      </c>
      <c r="B367" s="690">
        <f>B109</f>
        <v>0</v>
      </c>
      <c r="C367" s="326">
        <f>C109</f>
        <v>0</v>
      </c>
      <c r="D367" s="761">
        <f t="shared" ref="C367:E369" si="45">D109</f>
        <v>0</v>
      </c>
      <c r="E367" s="326">
        <f>E109</f>
        <v>0</v>
      </c>
      <c r="F367" s="743"/>
      <c r="G367" s="690"/>
    </row>
    <row r="368" spans="1:7">
      <c r="A368" s="755" t="str">
        <f>IF(AND($C374=0,$E374=0),"",A110)</f>
        <v>ט.</v>
      </c>
      <c r="B368" s="753" t="str">
        <f>IF(AND($C381=0,$E381=0),"",B110)</f>
        <v>קרנות בלתי מתוקצבות אחרות</v>
      </c>
      <c r="C368" s="326">
        <f t="shared" si="45"/>
        <v>0</v>
      </c>
      <c r="D368" s="761">
        <f t="shared" si="45"/>
        <v>0</v>
      </c>
      <c r="E368" s="326">
        <f t="shared" si="45"/>
        <v>0</v>
      </c>
      <c r="F368" s="743"/>
      <c r="G368" s="690"/>
    </row>
    <row r="369" spans="1:7">
      <c r="A369" s="690">
        <f>A111</f>
        <v>0</v>
      </c>
      <c r="B369" s="755" t="str">
        <f>IF(AND($C374=0,$E374=0),"",B111)</f>
        <v>התנועה בקרן דמי ניהול פנסיה תקציבית</v>
      </c>
      <c r="C369" s="3104">
        <f>IF(OR($C$389&lt;&gt;0,$E$389&lt;&gt;0),C111,0)</f>
        <v>2015</v>
      </c>
      <c r="D369" s="754">
        <f t="shared" si="45"/>
        <v>0</v>
      </c>
      <c r="E369" s="3104">
        <f>IF(OR($C$389&lt;&gt;0,$E$389&lt;&gt;0),E111,0)</f>
        <v>2014</v>
      </c>
      <c r="F369" s="743"/>
      <c r="G369" s="690"/>
    </row>
    <row r="370" spans="1:7">
      <c r="A370" s="690">
        <f t="shared" ref="A370:A382" si="46">A112</f>
        <v>0</v>
      </c>
      <c r="B370" s="170" t="str">
        <f>IF(AND($C112=0,$E112=0),"",$B112)</f>
        <v>יתרה לתחילת השנה</v>
      </c>
      <c r="C370" s="326">
        <f t="shared" ref="C370:E382" si="47">C112</f>
        <v>7264</v>
      </c>
      <c r="D370" s="326">
        <f t="shared" si="47"/>
        <v>0</v>
      </c>
      <c r="E370" s="326">
        <f t="shared" si="47"/>
        <v>6377</v>
      </c>
      <c r="F370" s="743"/>
      <c r="G370" s="690"/>
    </row>
    <row r="371" spans="1:7">
      <c r="A371" s="690">
        <f t="shared" si="46"/>
        <v>0</v>
      </c>
      <c r="B371" s="170" t="str">
        <f t="shared" ref="B371:B374" si="48">IF(AND($C113=0,$E113=0),"",$B113)</f>
        <v>ניכוי מהעובדים במהלך השנה</v>
      </c>
      <c r="C371" s="326">
        <f t="shared" si="47"/>
        <v>797</v>
      </c>
      <c r="D371" s="326">
        <f t="shared" si="47"/>
        <v>0</v>
      </c>
      <c r="E371" s="326">
        <f t="shared" si="47"/>
        <v>970</v>
      </c>
      <c r="F371" s="743"/>
      <c r="G371" s="690"/>
    </row>
    <row r="372" spans="1:7">
      <c r="A372" s="690">
        <f t="shared" si="46"/>
        <v>0</v>
      </c>
      <c r="B372" s="170" t="str">
        <f t="shared" si="48"/>
        <v>החזר בגין השתתפות בהוצאות</v>
      </c>
      <c r="C372" s="326">
        <f t="shared" si="47"/>
        <v>-619</v>
      </c>
      <c r="D372" s="326">
        <f t="shared" si="47"/>
        <v>0</v>
      </c>
      <c r="E372" s="326">
        <f t="shared" si="47"/>
        <v>-342</v>
      </c>
      <c r="F372" s="743"/>
      <c r="G372" s="690"/>
    </row>
    <row r="373" spans="1:7">
      <c r="A373" s="690">
        <f t="shared" si="46"/>
        <v>0</v>
      </c>
      <c r="B373" s="170" t="str">
        <f t="shared" si="48"/>
        <v>רווח (הפסד) בייעודה השנה</v>
      </c>
      <c r="C373" s="326">
        <f t="shared" si="47"/>
        <v>79</v>
      </c>
      <c r="D373" s="326">
        <f t="shared" si="47"/>
        <v>0</v>
      </c>
      <c r="E373" s="326">
        <f t="shared" si="47"/>
        <v>259</v>
      </c>
      <c r="F373" s="743"/>
      <c r="G373" s="690"/>
    </row>
    <row r="374" spans="1:7">
      <c r="A374" s="690">
        <f t="shared" si="46"/>
        <v>0</v>
      </c>
      <c r="B374" s="170">
        <f t="shared" si="48"/>
        <v>0</v>
      </c>
      <c r="C374" s="2736">
        <f t="shared" si="47"/>
        <v>7521</v>
      </c>
      <c r="D374" s="761">
        <f t="shared" si="47"/>
        <v>0</v>
      </c>
      <c r="E374" s="2736">
        <f t="shared" si="47"/>
        <v>7264</v>
      </c>
      <c r="F374" s="743"/>
      <c r="G374" s="690"/>
    </row>
    <row r="375" spans="1:7">
      <c r="A375" s="690">
        <f t="shared" si="46"/>
        <v>0</v>
      </c>
      <c r="B375" s="755" t="str">
        <f>IF(AND($C379=0,$E379=0),"",B117)</f>
        <v>קרנות אחרות</v>
      </c>
      <c r="C375" s="326">
        <f t="shared" si="47"/>
        <v>0</v>
      </c>
      <c r="D375" s="326">
        <f t="shared" si="47"/>
        <v>0</v>
      </c>
      <c r="E375" s="326">
        <f t="shared" si="47"/>
        <v>0</v>
      </c>
      <c r="F375" s="743"/>
      <c r="G375" s="690"/>
    </row>
    <row r="376" spans="1:7">
      <c r="A376" s="690">
        <f t="shared" si="46"/>
        <v>0</v>
      </c>
      <c r="B376" s="170" t="str">
        <f>IF(AND($B118&lt;&gt;"(***)",OR($C118&lt;&gt;0,$E118&lt;&gt;0)),$B118,"")</f>
        <v>פיקדון קרן מולדובן (250,000 $)</v>
      </c>
      <c r="C376" s="326">
        <f t="shared" si="47"/>
        <v>978</v>
      </c>
      <c r="D376" s="326">
        <f t="shared" si="47"/>
        <v>0</v>
      </c>
      <c r="E376" s="326">
        <f t="shared" si="47"/>
        <v>975</v>
      </c>
      <c r="F376" s="743"/>
      <c r="G376" s="690"/>
    </row>
    <row r="377" spans="1:7">
      <c r="A377" s="690">
        <f t="shared" si="46"/>
        <v>0</v>
      </c>
      <c r="B377" s="170" t="str">
        <f t="shared" ref="B377:B378" si="49">IF(AND($B119&lt;&gt;"(***)",OR($C119&lt;&gt;0,$E119&lt;&gt;0)),$B119,"")</f>
        <v xml:space="preserve">קרן אחזקה שטתית עמיגור </v>
      </c>
      <c r="C377" s="326">
        <f t="shared" si="47"/>
        <v>384</v>
      </c>
      <c r="D377" s="326">
        <f t="shared" si="47"/>
        <v>0</v>
      </c>
      <c r="E377" s="326">
        <f t="shared" si="47"/>
        <v>331</v>
      </c>
      <c r="F377" s="743"/>
      <c r="G377" s="690"/>
    </row>
    <row r="378" spans="1:7">
      <c r="A378" s="690">
        <f t="shared" si="46"/>
        <v>0</v>
      </c>
      <c r="B378" s="170" t="str">
        <f t="shared" si="49"/>
        <v/>
      </c>
      <c r="C378" s="326">
        <f t="shared" si="47"/>
        <v>0</v>
      </c>
      <c r="D378" s="326">
        <f t="shared" si="47"/>
        <v>0</v>
      </c>
      <c r="E378" s="326">
        <f t="shared" si="47"/>
        <v>0</v>
      </c>
      <c r="F378" s="743"/>
      <c r="G378" s="690"/>
    </row>
    <row r="379" spans="1:7">
      <c r="A379" s="690">
        <f t="shared" si="46"/>
        <v>0</v>
      </c>
      <c r="B379" s="690">
        <f>B121</f>
        <v>0</v>
      </c>
      <c r="C379" s="2736">
        <f t="shared" si="47"/>
        <v>1362</v>
      </c>
      <c r="D379" s="761">
        <f t="shared" si="47"/>
        <v>0</v>
      </c>
      <c r="E379" s="2736">
        <f t="shared" si="47"/>
        <v>1306</v>
      </c>
      <c r="F379" s="743"/>
      <c r="G379" s="690"/>
    </row>
    <row r="380" spans="1:7">
      <c r="A380" s="690">
        <f t="shared" si="46"/>
        <v>0</v>
      </c>
      <c r="B380" s="690">
        <f>B122</f>
        <v>0</v>
      </c>
      <c r="C380" s="326">
        <f t="shared" si="47"/>
        <v>0</v>
      </c>
      <c r="D380" s="326">
        <f t="shared" si="47"/>
        <v>0</v>
      </c>
      <c r="E380" s="326">
        <f t="shared" si="47"/>
        <v>0</v>
      </c>
      <c r="F380" s="743"/>
      <c r="G380" s="690"/>
    </row>
    <row r="381" spans="1:7" ht="13.8" thickBot="1">
      <c r="A381" s="690">
        <f t="shared" si="46"/>
        <v>0</v>
      </c>
      <c r="B381" s="755" t="str">
        <f>B123</f>
        <v>סה"כ קרנות בלתי מתוקצבות אחרות</v>
      </c>
      <c r="C381" s="759">
        <f t="shared" si="47"/>
        <v>8883</v>
      </c>
      <c r="D381" s="761">
        <f t="shared" si="47"/>
        <v>0</v>
      </c>
      <c r="E381" s="759">
        <f t="shared" si="47"/>
        <v>8570</v>
      </c>
      <c r="F381" s="743"/>
      <c r="G381" s="690"/>
    </row>
    <row r="382" spans="1:7" ht="13.8" thickTop="1">
      <c r="A382" s="690">
        <f t="shared" si="46"/>
        <v>0</v>
      </c>
      <c r="B382" s="690">
        <f>B124</f>
        <v>0</v>
      </c>
      <c r="C382" s="326">
        <f t="shared" si="47"/>
        <v>0</v>
      </c>
      <c r="D382" s="326">
        <f t="shared" si="47"/>
        <v>0</v>
      </c>
      <c r="E382" s="326">
        <f t="shared" si="47"/>
        <v>0</v>
      </c>
      <c r="F382" s="743"/>
      <c r="G382" s="690"/>
    </row>
    <row r="383" spans="1:7" ht="24.75" customHeight="1">
      <c r="A383" s="755" t="str">
        <f>IF(AND($C389=0,$E389=0),"",A125)</f>
        <v>י.</v>
      </c>
      <c r="B383" s="752" t="str">
        <f>IF(AND($C389=0,$E389=0),"",B125)</f>
        <v>קרנות מתוקצבות</v>
      </c>
      <c r="C383" s="3104">
        <f>IF(OR($C$389&lt;&gt;0,$E$389&lt;&gt;0),C125,0)</f>
        <v>2015</v>
      </c>
      <c r="D383" s="754">
        <f t="shared" ref="C383:F389" si="50">D125</f>
        <v>0</v>
      </c>
      <c r="E383" s="3104">
        <f>IF(OR($C$389&lt;&gt;0,$E$389&lt;&gt;0),E125,0)</f>
        <v>2014</v>
      </c>
      <c r="F383" s="743">
        <f t="shared" si="50"/>
        <v>0</v>
      </c>
      <c r="G383" s="690"/>
    </row>
    <row r="384" spans="1:7">
      <c r="A384" s="690">
        <f t="shared" ref="A384:A390" si="51">A126</f>
        <v>0</v>
      </c>
      <c r="B384" s="170" t="str">
        <f>IF(AND($B126&lt;&gt;"(***)",OR($C126&lt;&gt;0,$E126&lt;&gt;0)),$B126,"")</f>
        <v>קרנות למניות ושטרי הון בתאגידים עירוניים</v>
      </c>
      <c r="C384" s="326">
        <f t="shared" si="50"/>
        <v>179595</v>
      </c>
      <c r="D384" s="761">
        <f t="shared" si="50"/>
        <v>0</v>
      </c>
      <c r="E384" s="326">
        <f t="shared" si="50"/>
        <v>179595</v>
      </c>
      <c r="F384" s="743">
        <f t="shared" si="50"/>
        <v>0</v>
      </c>
      <c r="G384" s="690"/>
    </row>
    <row r="385" spans="1:7">
      <c r="A385" s="690">
        <f t="shared" si="51"/>
        <v>0</v>
      </c>
      <c r="B385" s="170" t="str">
        <f>IF(AND($B127&lt;&gt;"(***)",OR($C127&lt;&gt;0,$E127&lt;&gt;0)),$B127,"")</f>
        <v>קרנות לניירות ערך בלתי סחירים</v>
      </c>
      <c r="C385" s="326">
        <f t="shared" si="50"/>
        <v>162</v>
      </c>
      <c r="D385" s="761">
        <f t="shared" si="50"/>
        <v>0</v>
      </c>
      <c r="E385" s="326">
        <f t="shared" si="50"/>
        <v>162</v>
      </c>
      <c r="F385" s="743">
        <f t="shared" si="50"/>
        <v>0</v>
      </c>
      <c r="G385" s="690"/>
    </row>
    <row r="386" spans="1:7">
      <c r="A386" s="690" t="str">
        <f t="shared" si="51"/>
        <v xml:space="preserve"> </v>
      </c>
      <c r="B386" s="170" t="str">
        <f>IF(AND($B128&lt;&gt;"(***)",OR($C128&lt;&gt;0,$E128&lt;&gt;0)),$B128,"")</f>
        <v>קרנות למחסנים בלתי מתוקצבים</v>
      </c>
      <c r="C386" s="326">
        <f t="shared" si="50"/>
        <v>473</v>
      </c>
      <c r="D386" s="761">
        <f t="shared" si="50"/>
        <v>0</v>
      </c>
      <c r="E386" s="326">
        <f t="shared" si="50"/>
        <v>391</v>
      </c>
      <c r="F386" s="743">
        <f t="shared" si="50"/>
        <v>0</v>
      </c>
      <c r="G386" s="690"/>
    </row>
    <row r="387" spans="1:7">
      <c r="A387" s="690">
        <f t="shared" si="51"/>
        <v>0</v>
      </c>
      <c r="B387" s="170" t="str">
        <f>IF(AND($B129&lt;&gt;"(***)",OR($C129&lt;&gt;0,$E129&lt;&gt;0)),$B129,"")</f>
        <v>קרנות להלוואות לעובדים ונזקקים</v>
      </c>
      <c r="C387" s="326">
        <f t="shared" si="50"/>
        <v>524</v>
      </c>
      <c r="D387" s="761">
        <f t="shared" si="50"/>
        <v>0</v>
      </c>
      <c r="E387" s="326">
        <f t="shared" si="50"/>
        <v>442</v>
      </c>
      <c r="F387" s="743">
        <f t="shared" si="50"/>
        <v>0</v>
      </c>
      <c r="G387" s="690"/>
    </row>
    <row r="388" spans="1:7">
      <c r="A388" s="690">
        <f t="shared" si="51"/>
        <v>0</v>
      </c>
      <c r="B388" s="170" t="str">
        <f>IF(AND($B130&lt;&gt;"(***)",OR($C130&lt;&gt;0,$E130&lt;&gt;0)),$B130,"")</f>
        <v>הלוואה לתאגיד עירוני</v>
      </c>
      <c r="C388" s="326">
        <f t="shared" si="50"/>
        <v>156</v>
      </c>
      <c r="D388" s="761">
        <f t="shared" si="50"/>
        <v>0</v>
      </c>
      <c r="E388" s="326">
        <f t="shared" si="50"/>
        <v>155</v>
      </c>
      <c r="F388" s="743">
        <f t="shared" si="50"/>
        <v>0</v>
      </c>
      <c r="G388" s="690"/>
    </row>
    <row r="389" spans="1:7" ht="13.8" thickBot="1">
      <c r="A389" s="690">
        <f t="shared" si="51"/>
        <v>0</v>
      </c>
      <c r="B389" s="690">
        <f>B131</f>
        <v>0</v>
      </c>
      <c r="C389" s="759">
        <f t="shared" si="50"/>
        <v>180910</v>
      </c>
      <c r="D389" s="761">
        <f t="shared" si="50"/>
        <v>0</v>
      </c>
      <c r="E389" s="759">
        <f t="shared" si="50"/>
        <v>180745</v>
      </c>
      <c r="F389" s="743">
        <f t="shared" si="50"/>
        <v>0</v>
      </c>
      <c r="G389" s="690"/>
    </row>
    <row r="390" spans="1:7" ht="13.8" thickTop="1">
      <c r="A390" s="690">
        <f t="shared" si="51"/>
        <v>0</v>
      </c>
      <c r="B390" s="690">
        <f>B132</f>
        <v>0</v>
      </c>
      <c r="C390" s="761">
        <f>C132</f>
        <v>0</v>
      </c>
      <c r="D390" s="761">
        <f>D132</f>
        <v>0</v>
      </c>
      <c r="E390" s="761">
        <f>E132</f>
        <v>0</v>
      </c>
      <c r="F390" s="743">
        <f>F132</f>
        <v>0</v>
      </c>
      <c r="G390" s="690"/>
    </row>
    <row r="391" spans="1:7">
      <c r="C391" s="761"/>
      <c r="D391" s="761"/>
      <c r="E391" s="761"/>
      <c r="F391" s="743"/>
      <c r="G391" s="690"/>
    </row>
    <row r="392" spans="1:7">
      <c r="A392" s="755" t="str">
        <f>(IF(AND($C403=0,$E403=0,C397=0,E397=0),"",A133))</f>
        <v>יא.</v>
      </c>
      <c r="B392" s="752" t="str">
        <f>(IF(AND($C403=0,$E403=0,C397=0,E397=0),"",B133))</f>
        <v>שינויים ביתרות לתחילת השנה</v>
      </c>
      <c r="C392" s="761">
        <f t="shared" ref="C392:F399" si="52">C133</f>
        <v>0</v>
      </c>
      <c r="D392" s="761">
        <f t="shared" si="52"/>
        <v>0</v>
      </c>
      <c r="E392" s="761">
        <f t="shared" si="52"/>
        <v>0</v>
      </c>
      <c r="F392" s="743">
        <f>F133</f>
        <v>0</v>
      </c>
      <c r="G392" s="690"/>
    </row>
    <row r="393" spans="1:7" ht="24.75" customHeight="1">
      <c r="A393" s="760" t="str">
        <f>IF(AND($C397=0,$E397=0),"",$A134)</f>
        <v/>
      </c>
      <c r="B393" s="760" t="str">
        <f>IF(AND($C397=0,$E397=0),"",$B134)</f>
        <v/>
      </c>
      <c r="C393" s="3104">
        <f>IF(OR($C$397&lt;&gt;0,$E$397&lt;&gt;0),C134,0)</f>
        <v>0</v>
      </c>
      <c r="D393" s="754">
        <f t="shared" si="52"/>
        <v>0</v>
      </c>
      <c r="E393" s="3104">
        <f>IF(OR($C$397&lt;&gt;0,$E$397&lt;&gt;0),E134,0)</f>
        <v>0</v>
      </c>
      <c r="F393" s="743">
        <f t="shared" si="52"/>
        <v>0</v>
      </c>
      <c r="G393" s="690"/>
    </row>
    <row r="394" spans="1:7">
      <c r="A394" s="690">
        <f>A135</f>
        <v>0</v>
      </c>
      <c r="B394" s="170" t="str">
        <f>IF(AND($C135=0,$E135=0),"",$B135)</f>
        <v/>
      </c>
      <c r="C394" s="326">
        <f t="shared" si="52"/>
        <v>0</v>
      </c>
      <c r="D394" s="761">
        <f t="shared" si="52"/>
        <v>0</v>
      </c>
      <c r="E394" s="326">
        <f t="shared" si="52"/>
        <v>0</v>
      </c>
      <c r="F394" s="743">
        <f t="shared" si="52"/>
        <v>0</v>
      </c>
      <c r="G394" s="690"/>
    </row>
    <row r="395" spans="1:7">
      <c r="A395" s="690">
        <f>A136</f>
        <v>0</v>
      </c>
      <c r="B395" s="170" t="str">
        <f>IF(AND($B136&lt;&gt;"(***)",OR($C136&lt;&gt;0,$E136&lt;&gt;0)),$B136,"")</f>
        <v/>
      </c>
      <c r="C395" s="326">
        <f t="shared" si="52"/>
        <v>0</v>
      </c>
      <c r="D395" s="761">
        <f t="shared" si="52"/>
        <v>0</v>
      </c>
      <c r="E395" s="326">
        <f t="shared" si="52"/>
        <v>0</v>
      </c>
      <c r="F395" s="743">
        <f t="shared" si="52"/>
        <v>0</v>
      </c>
      <c r="G395" s="690"/>
    </row>
    <row r="396" spans="1:7">
      <c r="A396" s="690">
        <f>A137</f>
        <v>0</v>
      </c>
      <c r="B396" s="170" t="str">
        <f>IF(AND($B137&lt;&gt;"(***)",OR($C137&lt;&gt;0,$E137&lt;&gt;0)),$B137,"")</f>
        <v/>
      </c>
      <c r="C396" s="326">
        <f t="shared" si="52"/>
        <v>0</v>
      </c>
      <c r="D396" s="761">
        <f t="shared" si="52"/>
        <v>0</v>
      </c>
      <c r="E396" s="326">
        <f t="shared" si="52"/>
        <v>0</v>
      </c>
      <c r="F396" s="743">
        <f t="shared" si="52"/>
        <v>0</v>
      </c>
      <c r="G396" s="690"/>
    </row>
    <row r="397" spans="1:7">
      <c r="A397" s="690">
        <f>A138</f>
        <v>0</v>
      </c>
      <c r="B397" s="690">
        <f>B138</f>
        <v>0</v>
      </c>
      <c r="C397" s="2736">
        <f t="shared" si="52"/>
        <v>0</v>
      </c>
      <c r="D397" s="761">
        <f t="shared" si="52"/>
        <v>0</v>
      </c>
      <c r="E397" s="2736">
        <f t="shared" si="52"/>
        <v>0</v>
      </c>
      <c r="F397" s="743">
        <f t="shared" si="52"/>
        <v>0</v>
      </c>
      <c r="G397" s="690"/>
    </row>
    <row r="398" spans="1:7">
      <c r="A398" s="755">
        <f>IF(AND($C403=0,$E403=0),"",A139)</f>
        <v>0</v>
      </c>
      <c r="B398" s="752">
        <f>IF(AND($C403=0,$E403=0),"",B139)</f>
        <v>0</v>
      </c>
      <c r="C398" s="761">
        <f t="shared" si="52"/>
        <v>0</v>
      </c>
      <c r="D398" s="761">
        <f t="shared" si="52"/>
        <v>0</v>
      </c>
      <c r="E398" s="761">
        <f t="shared" si="52"/>
        <v>0</v>
      </c>
      <c r="F398" s="743">
        <f t="shared" si="52"/>
        <v>0</v>
      </c>
      <c r="G398" s="690"/>
    </row>
    <row r="399" spans="1:7" ht="25.5" customHeight="1">
      <c r="A399" s="760">
        <f>IF(AND($C403=0,$E403=0),"",$A140)</f>
        <v>2</v>
      </c>
      <c r="B399" s="760" t="str">
        <f>IF(AND($C403=0,$E403=0),"",$B140)</f>
        <v>קיזוזים מעודפים</v>
      </c>
      <c r="C399" s="3104">
        <f>IF(OR($C$403&lt;&gt;0,$E$403&lt;&gt;0),C140,0)</f>
        <v>2015</v>
      </c>
      <c r="D399" s="754">
        <f t="shared" si="52"/>
        <v>0</v>
      </c>
      <c r="E399" s="3104">
        <f>IF(OR($C$403&lt;&gt;0,$E$403&lt;&gt;0),E140,0)</f>
        <v>2014</v>
      </c>
      <c r="F399" s="743">
        <f t="shared" si="52"/>
        <v>0</v>
      </c>
      <c r="G399" s="690"/>
    </row>
    <row r="400" spans="1:7">
      <c r="A400" s="690">
        <f>A141</f>
        <v>0</v>
      </c>
      <c r="B400" s="170" t="str">
        <f>IF(AND($B141&lt;&gt;"(***)",OR($C141&lt;&gt;0,$E141&lt;&gt;0)),$B141,"")</f>
        <v>השתתפות העודף המצטבר במימון הפיתוח</v>
      </c>
      <c r="C400" s="326">
        <f t="shared" ref="C400:F403" si="53">C141</f>
        <v>14661</v>
      </c>
      <c r="D400" s="761">
        <f t="shared" si="53"/>
        <v>0</v>
      </c>
      <c r="E400" s="326">
        <f t="shared" si="53"/>
        <v>20000</v>
      </c>
      <c r="F400" s="743">
        <f t="shared" si="53"/>
        <v>0</v>
      </c>
      <c r="G400" s="690"/>
    </row>
    <row r="401" spans="1:7">
      <c r="A401" s="690">
        <f>A142</f>
        <v>0</v>
      </c>
      <c r="B401" s="170" t="str">
        <f>IF(AND($B142&lt;&gt;"(***)",OR($C142&lt;&gt;0,$E142&lt;&gt;0)),$B142,"")</f>
        <v>השתתפות העודף המצטבר בתקציב השוטף</v>
      </c>
      <c r="C401" s="326">
        <f t="shared" si="53"/>
        <v>6700</v>
      </c>
      <c r="D401" s="761">
        <f t="shared" si="53"/>
        <v>0</v>
      </c>
      <c r="E401" s="326">
        <f t="shared" si="53"/>
        <v>0</v>
      </c>
      <c r="F401" s="743">
        <f t="shared" si="53"/>
        <v>0</v>
      </c>
      <c r="G401" s="690"/>
    </row>
    <row r="402" spans="1:7">
      <c r="A402" s="690">
        <f>A143</f>
        <v>0</v>
      </c>
      <c r="B402" s="170" t="str">
        <f>IF(AND($B143&lt;&gt;"(***)",OR($C143&lt;&gt;0,$E143&lt;&gt;0)),$B143,"")</f>
        <v/>
      </c>
      <c r="C402" s="326">
        <f t="shared" si="53"/>
        <v>0</v>
      </c>
      <c r="D402" s="761">
        <f t="shared" si="53"/>
        <v>0</v>
      </c>
      <c r="E402" s="326">
        <f t="shared" si="53"/>
        <v>0</v>
      </c>
      <c r="F402" s="743">
        <f t="shared" si="53"/>
        <v>0</v>
      </c>
      <c r="G402" s="690"/>
    </row>
    <row r="403" spans="1:7">
      <c r="A403" s="690">
        <f>A144</f>
        <v>0</v>
      </c>
      <c r="B403" s="170">
        <f>IF(AND($C144=0,$E144=0),"",$B144)</f>
        <v>0</v>
      </c>
      <c r="C403" s="2736">
        <f>C144</f>
        <v>21361</v>
      </c>
      <c r="D403" s="761">
        <f t="shared" si="53"/>
        <v>0</v>
      </c>
      <c r="E403" s="2736">
        <f>E144</f>
        <v>20000</v>
      </c>
      <c r="F403" s="743">
        <f>F144</f>
        <v>0</v>
      </c>
      <c r="G403" s="690"/>
    </row>
    <row r="404" spans="1:7" ht="6" customHeight="1">
      <c r="B404" s="170"/>
      <c r="C404" s="2067"/>
      <c r="D404" s="761"/>
      <c r="E404" s="2067"/>
      <c r="F404" s="743"/>
      <c r="G404" s="690"/>
    </row>
    <row r="405" spans="1:7" ht="13.8" thickBot="1">
      <c r="A405" s="690">
        <f>A146</f>
        <v>0</v>
      </c>
      <c r="B405" s="760" t="str">
        <f>(IF(AND($C403=0,$E403=0,C397=0,E397=0),"",B146))</f>
        <v>סה"כ שינויים ביתרה לתחילת השנה</v>
      </c>
      <c r="C405" s="759">
        <f t="shared" ref="C405:F411" si="54">C146</f>
        <v>-21361</v>
      </c>
      <c r="D405" s="761">
        <f t="shared" si="54"/>
        <v>0</v>
      </c>
      <c r="E405" s="759">
        <f t="shared" si="54"/>
        <v>-20000</v>
      </c>
      <c r="F405" s="743">
        <f>F146</f>
        <v>0</v>
      </c>
      <c r="G405" s="690"/>
    </row>
    <row r="406" spans="1:7" ht="14.4" thickTop="1" thickBot="1">
      <c r="A406" s="690">
        <f t="shared" ref="A406:A412" si="55">A147</f>
        <v>0</v>
      </c>
      <c r="B406" s="760" t="str">
        <f>IF(AND($C410=0,$E410=0),"",$B147)</f>
        <v/>
      </c>
      <c r="C406" s="759">
        <f t="shared" si="54"/>
        <v>0</v>
      </c>
      <c r="D406" s="761">
        <f t="shared" si="54"/>
        <v>0</v>
      </c>
      <c r="E406" s="759">
        <f t="shared" si="54"/>
        <v>0</v>
      </c>
      <c r="F406" s="743">
        <f t="shared" si="54"/>
        <v>0</v>
      </c>
      <c r="G406" s="690"/>
    </row>
    <row r="407" spans="1:7" ht="13.8" thickTop="1">
      <c r="A407" s="690">
        <f t="shared" si="55"/>
        <v>0</v>
      </c>
      <c r="B407" s="760" t="str">
        <f>IF(AND($C411=0,$E411=0),"",$B148)</f>
        <v/>
      </c>
      <c r="C407" s="326">
        <f t="shared" si="54"/>
        <v>0</v>
      </c>
      <c r="D407" s="761">
        <f t="shared" si="54"/>
        <v>0</v>
      </c>
      <c r="E407" s="326">
        <f t="shared" si="54"/>
        <v>0</v>
      </c>
      <c r="F407" s="743">
        <f t="shared" si="54"/>
        <v>0</v>
      </c>
      <c r="G407" s="690"/>
    </row>
    <row r="408" spans="1:7" ht="24.75" customHeight="1">
      <c r="A408" s="755" t="str">
        <f>IF(AND($C412=0,$E412=0),"",$A149)</f>
        <v/>
      </c>
      <c r="B408" s="760" t="str">
        <f>IF(AND($C412=0,$E412=0),"",$B149)</f>
        <v/>
      </c>
      <c r="C408" s="3104">
        <f>IF(OR(C412&lt;&gt;0,E412&lt;&gt;0),C149,0)</f>
        <v>0</v>
      </c>
      <c r="D408" s="754">
        <f t="shared" si="54"/>
        <v>0</v>
      </c>
      <c r="E408" s="3104">
        <f>IF(OR(E412&lt;&gt;0,G412&lt;&gt;0),E149,0)</f>
        <v>0</v>
      </c>
      <c r="F408" s="743">
        <f t="shared" si="54"/>
        <v>0</v>
      </c>
      <c r="G408" s="690"/>
    </row>
    <row r="409" spans="1:7">
      <c r="A409" s="690">
        <f t="shared" si="55"/>
        <v>0</v>
      </c>
      <c r="B409" s="170" t="str">
        <f>IF(AND($B150&lt;&gt;"(***)",OR($C150&lt;&gt;0,$E150&lt;&gt;0)),$B150,"")</f>
        <v/>
      </c>
      <c r="C409" s="326">
        <f t="shared" si="54"/>
        <v>0</v>
      </c>
      <c r="D409" s="761">
        <f t="shared" si="54"/>
        <v>0</v>
      </c>
      <c r="E409" s="326">
        <f t="shared" si="54"/>
        <v>0</v>
      </c>
      <c r="F409" s="743">
        <f t="shared" si="54"/>
        <v>0</v>
      </c>
      <c r="G409" s="690"/>
    </row>
    <row r="410" spans="1:7">
      <c r="A410" s="690">
        <f t="shared" si="55"/>
        <v>0</v>
      </c>
      <c r="B410" s="170" t="str">
        <f>IF(AND($B151&lt;&gt;"(***)",OR($C151&lt;&gt;0,$E151&lt;&gt;0)),$B151,"")</f>
        <v/>
      </c>
      <c r="C410" s="326">
        <f t="shared" si="54"/>
        <v>0</v>
      </c>
      <c r="D410" s="761">
        <f t="shared" si="54"/>
        <v>0</v>
      </c>
      <c r="E410" s="326">
        <f t="shared" si="54"/>
        <v>0</v>
      </c>
      <c r="F410" s="743">
        <f t="shared" si="54"/>
        <v>0</v>
      </c>
      <c r="G410" s="690"/>
    </row>
    <row r="411" spans="1:7">
      <c r="A411" s="690">
        <f t="shared" si="55"/>
        <v>0</v>
      </c>
      <c r="B411" s="170" t="str">
        <f>IF(AND($B152&lt;&gt;"(***)",OR($C152&lt;&gt;0,$E152&lt;&gt;0)),$B152,"")</f>
        <v/>
      </c>
      <c r="C411" s="326">
        <f t="shared" si="54"/>
        <v>0</v>
      </c>
      <c r="D411" s="761">
        <f t="shared" si="54"/>
        <v>0</v>
      </c>
      <c r="E411" s="326">
        <f t="shared" si="54"/>
        <v>0</v>
      </c>
      <c r="F411" s="743">
        <f t="shared" si="54"/>
        <v>0</v>
      </c>
      <c r="G411" s="690"/>
    </row>
    <row r="412" spans="1:7" ht="13.8" thickBot="1">
      <c r="A412" s="690">
        <f t="shared" si="55"/>
        <v>0</v>
      </c>
      <c r="B412" s="760" t="str">
        <f>IF(AND($C153=0,$E153=0),"",$B153)</f>
        <v/>
      </c>
      <c r="C412" s="759">
        <f>C153</f>
        <v>0</v>
      </c>
      <c r="D412" s="761">
        <f>D153</f>
        <v>0</v>
      </c>
      <c r="E412" s="759">
        <f>E153</f>
        <v>0</v>
      </c>
      <c r="F412" s="743">
        <f>F153</f>
        <v>0</v>
      </c>
      <c r="G412" s="690"/>
    </row>
    <row r="413" spans="1:7" ht="13.8" thickTop="1">
      <c r="B413" s="760"/>
      <c r="D413" s="761"/>
      <c r="G413" s="690"/>
    </row>
    <row r="415" spans="1:7">
      <c r="B415" s="170" t="str">
        <f>IF(AND($B156&lt;&gt;"(***)",OR($C156&lt;&gt;0,$E156&lt;&gt;0)),$B156,"")</f>
        <v/>
      </c>
      <c r="D415" s="690"/>
      <c r="G415" s="690"/>
    </row>
  </sheetData>
  <sheetProtection password="83C1" sheet="1" objects="1" scenarios="1"/>
  <mergeCells count="13">
    <mergeCell ref="B282:G282"/>
    <mergeCell ref="A258:E258"/>
    <mergeCell ref="C3:G3"/>
    <mergeCell ref="C7:E7"/>
    <mergeCell ref="C1:G1"/>
    <mergeCell ref="C265:E265"/>
    <mergeCell ref="A176:G176"/>
    <mergeCell ref="A177:G177"/>
    <mergeCell ref="C2:G2"/>
    <mergeCell ref="A263:B263"/>
    <mergeCell ref="A260:E260"/>
    <mergeCell ref="A259:E259"/>
    <mergeCell ref="B24:G24"/>
  </mergeCells>
  <phoneticPr fontId="4" type="noConversion"/>
  <conditionalFormatting sqref="C296 E296 C304 E304 C328 E328 C335 E335 C337 E337 C343 E343 C355 E355 C366 E366 C389 E389 C396 E396 E404 C404">
    <cfRule type="expression" dxfId="41" priority="7" stopIfTrue="1">
      <formula>AND($C296=0,$E296=0)</formula>
    </cfRule>
  </conditionalFormatting>
  <conditionalFormatting sqref="C397 E397 E374">
    <cfRule type="expression" dxfId="40" priority="8" stopIfTrue="1">
      <formula>AND($C$394=0,$C$395=0,$C$396=0,$E$394=0,$E$395=0,$E$396=0)</formula>
    </cfRule>
  </conditionalFormatting>
  <conditionalFormatting sqref="C403 E403 E379">
    <cfRule type="expression" dxfId="39" priority="9" stopIfTrue="1">
      <formula>AND($C$400=0,$C$401=0,$C$402=0,$E$400=0,$E$401=0,$E$402=0)</formula>
    </cfRule>
  </conditionalFormatting>
  <conditionalFormatting sqref="C405:C406 E405:E406">
    <cfRule type="expression" dxfId="38" priority="10" stopIfTrue="1">
      <formula>AND($C403=0,$E403=0,$C397=0,$E397=0)</formula>
    </cfRule>
  </conditionalFormatting>
  <conditionalFormatting sqref="C412 E412">
    <cfRule type="expression" dxfId="37" priority="11" stopIfTrue="1">
      <formula>AND($C412=0,$E412=0)</formula>
    </cfRule>
  </conditionalFormatting>
  <conditionalFormatting sqref="C276:C278 E276:E278">
    <cfRule type="expression" dxfId="36" priority="12" stopIfTrue="1">
      <formula>AND($C$276=0,$E$276=0)</formula>
    </cfRule>
  </conditionalFormatting>
  <conditionalFormatting sqref="C312 E312">
    <cfRule type="expression" dxfId="35" priority="6" stopIfTrue="1">
      <formula>AND($C312=0,$E312=0)</formula>
    </cfRule>
  </conditionalFormatting>
  <conditionalFormatting sqref="C317 E317">
    <cfRule type="expression" dxfId="34" priority="5" stopIfTrue="1">
      <formula>AND($C317=0,$E317=0)</formula>
    </cfRule>
  </conditionalFormatting>
  <conditionalFormatting sqref="C319 E319">
    <cfRule type="expression" dxfId="33" priority="4" stopIfTrue="1">
      <formula>AND($C319=0,$E319=0)</formula>
    </cfRule>
  </conditionalFormatting>
  <conditionalFormatting sqref="C381 E381">
    <cfRule type="expression" dxfId="32" priority="3" stopIfTrue="1">
      <formula>AND($C381=0,$E381=0)</formula>
    </cfRule>
  </conditionalFormatting>
  <conditionalFormatting sqref="C374">
    <cfRule type="expression" dxfId="31" priority="2" stopIfTrue="1">
      <formula>AND($C$394=0,$C$395=0,$C$396=0,$E$394=0,$E$395=0,$E$396=0)</formula>
    </cfRule>
  </conditionalFormatting>
  <conditionalFormatting sqref="C379">
    <cfRule type="expression" dxfId="30" priority="1" stopIfTrue="1">
      <formula>AND($C$400=0,$C$401=0,$C$402=0,$E$400=0,$E$401=0,$E$402=0)</formula>
    </cfRule>
  </conditionalFormatting>
  <dataValidations count="2">
    <dataValidation type="custom" errorStyle="warning" showInputMessage="1" showErrorMessage="1" errorTitle="שגיאה" error="סה&quot;כ צריך להיות בפלוס. ניתן להזין נתון במינוס רק במקרה של הגדלת גרעון." sqref="C137 E137">
      <formula1>OR((C135+C136+C137)&gt;0,AND(C135+C137&gt;0,C136=0),AND(C136+C137&gt;0,C135=0))</formula1>
    </dataValidation>
    <dataValidation type="decimal" operator="greaterThan" showInputMessage="1" showErrorMessage="1" errorTitle="נדרש נתון חיובי" error="הסכום צריך להיות בסימן פלוס" prompt="הסכום צריך להיות מוזן בפלוס" sqref="E135:E136 C135:C136">
      <formula1>0</formula1>
    </dataValidation>
  </dataValidations>
  <hyperlinks>
    <hyperlink ref="A4" location="'תוכן הענינים'!A1" tooltip="לחץ להצגת גליון תוכן הענינים" display="הצג תוכן ענינים"/>
  </hyperlinks>
  <printOptions horizontalCentered="1"/>
  <pageMargins left="0.27559055118110237" right="0.35433070866141736" top="0.74803149606299213" bottom="0.78740157480314965" header="0.23622047244094491" footer="0.51181102362204722"/>
  <pageSetup paperSize="9" scale="91" firstPageNumber="10" fitToHeight="3" orientation="portrait" blackAndWhite="1" horizontalDpi="300" verticalDpi="300" r:id="rId1"/>
  <headerFooter alignWithMargins="0">
    <oddHeader>&amp;L&amp;8&amp;A</oddHeader>
    <oddFooter>&amp;C&amp;8 &amp;P</oddFooter>
  </headerFooter>
  <rowBreaks count="5" manualBreakCount="5">
    <brk id="40" max="16383" man="1"/>
    <brk id="87" max="16383" man="1"/>
    <brk id="175" max="8" man="1"/>
    <brk id="304" max="6" man="1"/>
    <brk id="391" max="6"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dimension ref="A1:K6"/>
  <sheetViews>
    <sheetView showRowColHeaders="0" showZeros="0" rightToLeft="1" showOutlineSymbols="0" workbookViewId="0"/>
  </sheetViews>
  <sheetFormatPr defaultColWidth="9.109375" defaultRowHeight="13.2"/>
  <cols>
    <col min="1" max="16384" width="9.109375" style="766"/>
  </cols>
  <sheetData>
    <row r="1" spans="1:11">
      <c r="A1" s="765" t="s">
        <v>339</v>
      </c>
      <c r="K1" s="767"/>
    </row>
    <row r="3" spans="1:11">
      <c r="A3" s="2593" t="s">
        <v>27</v>
      </c>
    </row>
    <row r="4" spans="1:11">
      <c r="A4" s="3029" t="s">
        <v>0</v>
      </c>
    </row>
    <row r="6" spans="1:11" ht="20.399999999999999">
      <c r="A6" s="3136"/>
    </row>
  </sheetData>
  <sheetProtection password="83C1" sheet="1" objects="1" scenarios="1"/>
  <phoneticPr fontId="4" type="noConversion"/>
  <hyperlinks>
    <hyperlink ref="A1" location="'תוכן הענינים'!A1" tooltip="לחץ להצגת גליון תוכן הענינים" display="הצג תוכן ענינים"/>
  </hyperlinks>
  <pageMargins left="0.75" right="0.75" top="1" bottom="1" header="0.5" footer="0.5"/>
  <pageSetup paperSize="9" orientation="portrait" horizontalDpi="300" verticalDpi="300" r:id="rId1"/>
  <headerFooter alignWithMargins="0">
    <oddHeader>&amp;L&amp;8&amp;A</oddHeader>
    <oddFooter>&amp;C&amp;8&amp;P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2"/>
  <dimension ref="A1:J237"/>
  <sheetViews>
    <sheetView showGridLines="0" showRowColHeaders="0" showZeros="0" rightToLeft="1" showOutlineSymbols="0" zoomScale="90" workbookViewId="0">
      <selection activeCell="A4" sqref="A4"/>
    </sheetView>
  </sheetViews>
  <sheetFormatPr defaultColWidth="9.109375" defaultRowHeight="13.2"/>
  <cols>
    <col min="1" max="1" width="9.109375" style="297"/>
    <col min="2" max="2" width="33.44140625" style="297" customWidth="1"/>
    <col min="3" max="3" width="12.33203125" style="297" customWidth="1"/>
    <col min="4" max="4" width="5.33203125" style="297" customWidth="1"/>
    <col min="5" max="5" width="12.33203125" style="297" customWidth="1"/>
    <col min="6" max="6" width="5.33203125" style="297" customWidth="1"/>
    <col min="7" max="7" width="12.33203125" style="297" customWidth="1"/>
    <col min="8" max="8" width="2.44140625" style="2234" customWidth="1"/>
    <col min="9" max="16384" width="9.109375" style="297"/>
  </cols>
  <sheetData>
    <row r="1" spans="1:10" ht="15.6">
      <c r="A1" s="768"/>
      <c r="B1" s="768"/>
      <c r="C1" s="3457" t="str">
        <f>'הגדרות כלליות'!D6</f>
        <v>עירית הרצליה</v>
      </c>
      <c r="D1" s="3493"/>
      <c r="E1" s="3493"/>
      <c r="F1" s="3493"/>
      <c r="G1" s="3493"/>
      <c r="H1" s="3493"/>
      <c r="I1" s="3493"/>
      <c r="J1" s="637"/>
    </row>
    <row r="2" spans="1:10" ht="15.6">
      <c r="A2" s="768"/>
      <c r="B2" s="768" t="s">
        <v>360</v>
      </c>
      <c r="C2" s="3457" t="s">
        <v>702</v>
      </c>
      <c r="D2" s="3493"/>
      <c r="E2" s="3493"/>
      <c r="F2" s="3493"/>
      <c r="G2" s="3493"/>
      <c r="H2" s="3493"/>
      <c r="I2" s="3493"/>
      <c r="J2" s="637"/>
    </row>
    <row r="3" spans="1:10" ht="15.6">
      <c r="A3" s="768"/>
      <c r="B3" s="768"/>
      <c r="C3" s="769"/>
      <c r="D3" s="769"/>
      <c r="E3" s="769"/>
      <c r="F3" s="769"/>
      <c r="G3" s="769"/>
      <c r="H3" s="2989"/>
      <c r="I3" s="769"/>
      <c r="J3" s="637"/>
    </row>
    <row r="4" spans="1:10" ht="16.5" customHeight="1">
      <c r="A4" s="7" t="s">
        <v>339</v>
      </c>
      <c r="B4" s="770"/>
      <c r="C4" s="643"/>
      <c r="D4" s="643"/>
      <c r="E4" s="643"/>
      <c r="F4" s="643"/>
      <c r="G4" s="643"/>
      <c r="H4" s="2990"/>
      <c r="I4" s="771"/>
      <c r="J4" s="637"/>
    </row>
    <row r="5" spans="1:10" ht="17.25" customHeight="1">
      <c r="A5" s="692" t="s">
        <v>2208</v>
      </c>
      <c r="B5" s="770"/>
      <c r="C5" s="643"/>
      <c r="D5" s="643"/>
      <c r="E5" s="643"/>
      <c r="F5" s="643"/>
      <c r="G5" s="643"/>
      <c r="H5" s="2990"/>
      <c r="I5" s="771"/>
      <c r="J5" s="637"/>
    </row>
    <row r="6" spans="1:10">
      <c r="A6" s="771"/>
      <c r="B6" s="3496"/>
      <c r="C6" s="3105" t="s">
        <v>395</v>
      </c>
      <c r="D6" s="373"/>
      <c r="E6" s="3105" t="s">
        <v>396</v>
      </c>
      <c r="F6" s="772"/>
      <c r="G6" s="3106" t="s">
        <v>396</v>
      </c>
      <c r="H6" s="2991"/>
      <c r="I6" s="771"/>
      <c r="J6" s="637"/>
    </row>
    <row r="7" spans="1:10">
      <c r="A7" s="771"/>
      <c r="B7" s="3497"/>
      <c r="C7" s="3105">
        <f>Shana</f>
        <v>2015</v>
      </c>
      <c r="D7" s="772"/>
      <c r="E7" s="3105">
        <f>Shana</f>
        <v>2015</v>
      </c>
      <c r="F7" s="772"/>
      <c r="G7" s="3106">
        <f>ShanaKodemet</f>
        <v>2014</v>
      </c>
      <c r="H7" s="2992"/>
      <c r="I7" s="771"/>
      <c r="J7" s="637"/>
    </row>
    <row r="8" spans="1:10">
      <c r="A8" s="771"/>
      <c r="B8" s="774" t="s">
        <v>722</v>
      </c>
      <c r="C8" s="583"/>
      <c r="D8" s="775"/>
      <c r="E8" s="407"/>
      <c r="F8" s="775"/>
      <c r="G8" s="775"/>
      <c r="H8" s="2993"/>
      <c r="I8" s="771"/>
      <c r="J8" s="637"/>
    </row>
    <row r="9" spans="1:10">
      <c r="A9" s="771"/>
      <c r="B9" s="776" t="s">
        <v>1502</v>
      </c>
      <c r="C9" s="777"/>
      <c r="D9" s="778"/>
      <c r="E9" s="594">
        <f>'ביאור 3'!C135</f>
        <v>0</v>
      </c>
      <c r="F9" s="780"/>
      <c r="G9" s="594">
        <f>'ביאור 3'!E135</f>
        <v>0</v>
      </c>
      <c r="H9" s="2994"/>
      <c r="I9" s="771"/>
      <c r="J9" s="637"/>
    </row>
    <row r="10" spans="1:10">
      <c r="A10" s="771"/>
      <c r="B10" s="776" t="s">
        <v>5</v>
      </c>
      <c r="C10" s="781"/>
      <c r="D10" s="782"/>
      <c r="E10" s="783"/>
      <c r="F10" s="784"/>
      <c r="G10" s="783"/>
      <c r="H10" s="2994"/>
      <c r="I10" s="771"/>
      <c r="J10" s="637"/>
    </row>
    <row r="11" spans="1:10">
      <c r="A11" s="771"/>
      <c r="B11" s="3305" t="s">
        <v>2446</v>
      </c>
      <c r="C11" s="781">
        <v>3000</v>
      </c>
      <c r="D11" s="782"/>
      <c r="E11" s="783">
        <v>3323</v>
      </c>
      <c r="F11" s="784"/>
      <c r="G11" s="783">
        <v>5008</v>
      </c>
      <c r="H11" s="2994"/>
      <c r="I11" s="771"/>
      <c r="J11" s="637"/>
    </row>
    <row r="12" spans="1:10">
      <c r="A12" s="771"/>
      <c r="B12" s="785" t="s">
        <v>723</v>
      </c>
      <c r="C12" s="781"/>
      <c r="D12" s="782"/>
      <c r="E12" s="783"/>
      <c r="F12" s="784"/>
      <c r="G12" s="783"/>
      <c r="H12" s="2994"/>
      <c r="I12" s="771"/>
      <c r="J12" s="637"/>
    </row>
    <row r="13" spans="1:10">
      <c r="A13" s="771"/>
      <c r="B13" s="785" t="s">
        <v>979</v>
      </c>
      <c r="C13" s="781"/>
      <c r="D13" s="782"/>
      <c r="E13" s="783"/>
      <c r="F13" s="784"/>
      <c r="G13" s="783"/>
      <c r="H13" s="2994"/>
      <c r="I13" s="771"/>
      <c r="J13" s="637"/>
    </row>
    <row r="14" spans="1:10">
      <c r="A14" s="771"/>
      <c r="B14" s="3305" t="s">
        <v>2256</v>
      </c>
      <c r="C14" s="781">
        <v>8274</v>
      </c>
      <c r="D14" s="782"/>
      <c r="E14" s="783">
        <v>4156</v>
      </c>
      <c r="F14" s="784"/>
      <c r="G14" s="783">
        <v>7197</v>
      </c>
      <c r="H14" s="2994"/>
      <c r="I14" s="771"/>
      <c r="J14" s="637"/>
    </row>
    <row r="15" spans="1:10">
      <c r="A15" s="771"/>
      <c r="B15" s="3305" t="s">
        <v>2257</v>
      </c>
      <c r="C15" s="787">
        <v>19100</v>
      </c>
      <c r="D15" s="782"/>
      <c r="E15" s="788">
        <v>17518</v>
      </c>
      <c r="F15" s="784"/>
      <c r="G15" s="788">
        <v>20255</v>
      </c>
      <c r="H15" s="2994"/>
      <c r="I15" s="771"/>
      <c r="J15" s="637"/>
    </row>
    <row r="16" spans="1:10">
      <c r="A16" s="771"/>
      <c r="B16" s="3305" t="s">
        <v>2258</v>
      </c>
      <c r="C16" s="787">
        <v>380</v>
      </c>
      <c r="D16" s="782"/>
      <c r="E16" s="788">
        <v>228</v>
      </c>
      <c r="F16" s="784"/>
      <c r="G16" s="788">
        <v>312</v>
      </c>
      <c r="H16" s="2994"/>
      <c r="I16" s="771"/>
      <c r="J16" s="637"/>
    </row>
    <row r="17" spans="1:10">
      <c r="A17" s="771"/>
      <c r="B17" s="3305" t="s">
        <v>2456</v>
      </c>
      <c r="C17" s="787">
        <v>6700</v>
      </c>
      <c r="D17" s="782"/>
      <c r="E17" s="788">
        <v>6700</v>
      </c>
      <c r="F17" s="784"/>
      <c r="G17" s="788"/>
      <c r="H17" s="2994"/>
      <c r="I17" s="771"/>
      <c r="J17" s="637"/>
    </row>
    <row r="18" spans="1:10">
      <c r="A18" s="771"/>
      <c r="B18" s="785" t="s">
        <v>724</v>
      </c>
      <c r="C18" s="787">
        <v>1070</v>
      </c>
      <c r="D18" s="782"/>
      <c r="E18" s="788">
        <v>1228</v>
      </c>
      <c r="F18" s="784"/>
      <c r="G18" s="788">
        <v>640</v>
      </c>
      <c r="H18" s="2994"/>
      <c r="I18" s="771"/>
      <c r="J18" s="637"/>
    </row>
    <row r="19" spans="1:10" ht="13.8" thickBot="1">
      <c r="A19" s="771"/>
      <c r="B19" s="789"/>
      <c r="C19" s="790">
        <f>SUM(C9:C18)</f>
        <v>38524</v>
      </c>
      <c r="D19" s="782"/>
      <c r="E19" s="791">
        <f>SUM(E9:E18)</f>
        <v>33153</v>
      </c>
      <c r="F19" s="784"/>
      <c r="G19" s="791">
        <f>SUM(G9:G18)</f>
        <v>33412</v>
      </c>
      <c r="H19" s="2994"/>
      <c r="I19" s="771"/>
      <c r="J19" s="637"/>
    </row>
    <row r="20" spans="1:10" ht="13.8" thickTop="1">
      <c r="A20" s="771"/>
      <c r="B20" s="789"/>
      <c r="C20" s="793"/>
      <c r="D20" s="782"/>
      <c r="E20" s="780"/>
      <c r="F20" s="784"/>
      <c r="G20" s="780"/>
      <c r="H20" s="2993"/>
      <c r="I20" s="771"/>
      <c r="J20" s="637"/>
    </row>
    <row r="21" spans="1:10">
      <c r="A21" s="771"/>
      <c r="B21" s="774" t="s">
        <v>725</v>
      </c>
      <c r="C21" s="3105" t="str">
        <f>CONCATENATE("תקציב ",Shana)</f>
        <v>תקציב 2015</v>
      </c>
      <c r="D21" s="782"/>
      <c r="E21" s="3105" t="str">
        <f>CONCATENATE("ביצוע ",Shana)</f>
        <v>ביצוע 2015</v>
      </c>
      <c r="F21" s="784"/>
      <c r="G21" s="3105" t="str">
        <f>CONCATENATE("ביצוע ",ShanaKodemet)</f>
        <v>ביצוע 2014</v>
      </c>
      <c r="H21" s="2993"/>
      <c r="I21" s="771"/>
      <c r="J21" s="637"/>
    </row>
    <row r="22" spans="1:10">
      <c r="A22" s="771"/>
      <c r="B22" s="776" t="s">
        <v>310</v>
      </c>
      <c r="C22" s="781"/>
      <c r="D22" s="782"/>
      <c r="E22" s="783"/>
      <c r="F22" s="784"/>
      <c r="G22" s="783"/>
      <c r="H22" s="2994"/>
      <c r="I22" s="771"/>
      <c r="J22" s="637"/>
    </row>
    <row r="23" spans="1:10">
      <c r="A23" s="771"/>
      <c r="B23" s="785" t="s">
        <v>735</v>
      </c>
      <c r="C23" s="781">
        <v>49500</v>
      </c>
      <c r="D23" s="782"/>
      <c r="E23" s="783">
        <v>45760</v>
      </c>
      <c r="F23" s="784"/>
      <c r="G23" s="783">
        <v>44835</v>
      </c>
      <c r="H23" s="2994"/>
      <c r="I23" s="771"/>
      <c r="J23" s="637"/>
    </row>
    <row r="24" spans="1:10">
      <c r="A24" s="771"/>
      <c r="B24" s="785" t="s">
        <v>975</v>
      </c>
      <c r="C24" s="781">
        <v>27250</v>
      </c>
      <c r="D24" s="782"/>
      <c r="E24" s="783">
        <v>26194</v>
      </c>
      <c r="F24" s="784"/>
      <c r="G24" s="783">
        <v>24647</v>
      </c>
      <c r="H24" s="2994"/>
      <c r="I24" s="771"/>
      <c r="J24" s="637"/>
    </row>
    <row r="25" spans="1:10">
      <c r="A25" s="771"/>
      <c r="B25" s="785" t="s">
        <v>314</v>
      </c>
      <c r="C25" s="781">
        <v>2900</v>
      </c>
      <c r="D25" s="782"/>
      <c r="E25" s="783">
        <v>1610</v>
      </c>
      <c r="F25" s="784"/>
      <c r="G25" s="783">
        <v>1267</v>
      </c>
      <c r="H25" s="2994"/>
      <c r="I25" s="771"/>
      <c r="J25" s="637"/>
    </row>
    <row r="26" spans="1:10">
      <c r="A26" s="771"/>
      <c r="B26" s="785" t="s">
        <v>736</v>
      </c>
      <c r="C26" s="781">
        <v>2219</v>
      </c>
      <c r="D26" s="782"/>
      <c r="E26" s="783">
        <v>3318</v>
      </c>
      <c r="F26" s="784"/>
      <c r="G26" s="783">
        <v>2316</v>
      </c>
      <c r="H26" s="2994"/>
      <c r="I26" s="771"/>
      <c r="J26" s="637"/>
    </row>
    <row r="27" spans="1:10">
      <c r="A27" s="771"/>
      <c r="B27" s="785" t="s">
        <v>1501</v>
      </c>
      <c r="C27" s="781"/>
      <c r="D27" s="782"/>
      <c r="E27" s="783"/>
      <c r="F27" s="784"/>
      <c r="G27" s="783"/>
      <c r="H27" s="2994"/>
      <c r="I27" s="771"/>
      <c r="J27" s="637"/>
    </row>
    <row r="28" spans="1:10">
      <c r="A28" s="771"/>
      <c r="B28" s="785" t="s">
        <v>980</v>
      </c>
      <c r="C28" s="781"/>
      <c r="D28" s="782"/>
      <c r="E28" s="783"/>
      <c r="F28" s="784"/>
      <c r="G28" s="783"/>
      <c r="H28" s="2994"/>
      <c r="I28" s="771"/>
      <c r="J28" s="637"/>
    </row>
    <row r="29" spans="1:10">
      <c r="A29" s="771"/>
      <c r="B29" s="3305" t="s">
        <v>2684</v>
      </c>
      <c r="C29" s="787">
        <v>2500</v>
      </c>
      <c r="D29" s="782"/>
      <c r="E29" s="788">
        <v>3675</v>
      </c>
      <c r="F29" s="784"/>
      <c r="G29" s="788">
        <v>3011</v>
      </c>
      <c r="H29" s="2994"/>
      <c r="I29" s="771"/>
      <c r="J29" s="637"/>
    </row>
    <row r="30" spans="1:10">
      <c r="A30" s="771"/>
      <c r="B30" s="3305" t="s">
        <v>2259</v>
      </c>
      <c r="C30" s="787">
        <v>7770</v>
      </c>
      <c r="D30" s="782"/>
      <c r="E30" s="788">
        <v>6569</v>
      </c>
      <c r="F30" s="784"/>
      <c r="G30" s="788">
        <v>5488</v>
      </c>
      <c r="H30" s="2994"/>
      <c r="I30" s="771"/>
      <c r="J30" s="637"/>
    </row>
    <row r="31" spans="1:10">
      <c r="A31" s="771"/>
      <c r="B31" s="3305" t="s">
        <v>2585</v>
      </c>
      <c r="C31" s="787">
        <v>3500</v>
      </c>
      <c r="D31" s="782"/>
      <c r="E31" s="788">
        <v>3500</v>
      </c>
      <c r="F31" s="784"/>
      <c r="G31" s="788"/>
      <c r="H31" s="2994"/>
      <c r="I31" s="771"/>
      <c r="J31" s="637"/>
    </row>
    <row r="32" spans="1:10">
      <c r="A32" s="771"/>
      <c r="B32" s="785" t="s">
        <v>497</v>
      </c>
      <c r="C32" s="787">
        <v>1230</v>
      </c>
      <c r="D32" s="782"/>
      <c r="E32" s="788">
        <v>15778</v>
      </c>
      <c r="F32" s="784"/>
      <c r="G32" s="788">
        <v>7946</v>
      </c>
      <c r="H32" s="2994"/>
      <c r="I32" s="771"/>
      <c r="J32" s="637"/>
    </row>
    <row r="33" spans="1:10">
      <c r="A33" s="771"/>
      <c r="B33" s="3305" t="s">
        <v>2260</v>
      </c>
      <c r="C33" s="787"/>
      <c r="D33" s="782"/>
      <c r="E33" s="788">
        <v>25000</v>
      </c>
      <c r="F33" s="784"/>
      <c r="G33" s="788">
        <v>15000</v>
      </c>
      <c r="H33" s="2994"/>
      <c r="I33" s="771"/>
      <c r="J33" s="637"/>
    </row>
    <row r="34" spans="1:10" ht="13.8" thickBot="1">
      <c r="A34" s="771"/>
      <c r="B34" s="789"/>
      <c r="C34" s="790">
        <f>SUM(C22:C33)</f>
        <v>96869</v>
      </c>
      <c r="D34" s="782"/>
      <c r="E34" s="791">
        <f>SUM(E22:E33)</f>
        <v>131404</v>
      </c>
      <c r="F34" s="784"/>
      <c r="G34" s="791">
        <f>SUM(G22:G33)</f>
        <v>104510</v>
      </c>
      <c r="H34" s="2994"/>
      <c r="I34" s="771"/>
      <c r="J34" s="637"/>
    </row>
    <row r="35" spans="1:10" ht="13.8" thickTop="1">
      <c r="A35" s="771"/>
      <c r="B35" s="786" t="s">
        <v>350</v>
      </c>
      <c r="C35" s="794"/>
      <c r="D35" s="832"/>
      <c r="E35" s="794"/>
      <c r="F35" s="2936"/>
      <c r="G35" s="794"/>
      <c r="H35" s="2994"/>
      <c r="I35" s="771"/>
      <c r="J35" s="637"/>
    </row>
    <row r="36" spans="1:10">
      <c r="A36" s="771"/>
      <c r="B36" s="795"/>
      <c r="C36" s="796"/>
      <c r="D36" s="796"/>
      <c r="E36" s="796"/>
      <c r="F36" s="796"/>
      <c r="G36" s="796"/>
      <c r="H36" s="2995"/>
      <c r="I36" s="771"/>
      <c r="J36" s="637"/>
    </row>
    <row r="37" spans="1:10" ht="13.8" thickBot="1">
      <c r="A37" s="771"/>
      <c r="B37" s="771"/>
      <c r="C37" s="771"/>
      <c r="D37" s="771"/>
      <c r="E37" s="771"/>
      <c r="F37" s="771"/>
      <c r="G37" s="771"/>
      <c r="H37" s="2996"/>
      <c r="I37" s="771"/>
      <c r="J37" s="637"/>
    </row>
    <row r="38" spans="1:10" ht="13.8" thickTop="1">
      <c r="A38" s="671"/>
      <c r="B38" s="671"/>
      <c r="C38" s="671"/>
      <c r="D38" s="671"/>
      <c r="E38" s="671"/>
      <c r="F38" s="671"/>
      <c r="G38" s="671"/>
      <c r="H38" s="2997"/>
      <c r="I38" s="671"/>
    </row>
    <row r="204" spans="1:8" ht="15.6">
      <c r="B204" s="3390" t="str">
        <f>C1</f>
        <v>עירית הרצליה</v>
      </c>
      <c r="C204" s="3390"/>
      <c r="D204" s="3390"/>
      <c r="E204" s="3390"/>
      <c r="F204" s="3390"/>
      <c r="G204" s="3390"/>
      <c r="H204" s="2998"/>
    </row>
    <row r="205" spans="1:8" ht="15.6">
      <c r="B205" s="3390" t="str">
        <f>C2</f>
        <v>פירוט תקבולים ותשלומים לא רגילים (באלפי ש"ח)</v>
      </c>
      <c r="C205" s="3390"/>
      <c r="D205" s="3390"/>
      <c r="E205" s="3390"/>
      <c r="F205" s="3390"/>
      <c r="G205" s="3390"/>
      <c r="H205" s="2998"/>
    </row>
    <row r="206" spans="1:8" ht="14.25" customHeight="1"/>
    <row r="207" spans="1:8">
      <c r="A207" s="291" t="str">
        <f>A5</f>
        <v>ביאור 4 - פירוט תקבולים ותשלומים לא רגילים</v>
      </c>
    </row>
    <row r="208" spans="1:8">
      <c r="B208" s="3494">
        <f t="shared" ref="B208:G208" si="0">B6</f>
        <v>0</v>
      </c>
      <c r="C208" s="3107" t="str">
        <f t="shared" si="0"/>
        <v>תקציב</v>
      </c>
      <c r="D208" s="350">
        <f t="shared" si="0"/>
        <v>0</v>
      </c>
      <c r="E208" s="3107" t="str">
        <f t="shared" si="0"/>
        <v>ביצוע</v>
      </c>
      <c r="F208" s="798">
        <f t="shared" si="0"/>
        <v>0</v>
      </c>
      <c r="G208" s="3107" t="str">
        <f t="shared" si="0"/>
        <v>ביצוע</v>
      </c>
      <c r="H208" s="2999">
        <f t="shared" ref="H208:H214" si="1">H6</f>
        <v>0</v>
      </c>
    </row>
    <row r="209" spans="2:8">
      <c r="B209" s="3495"/>
      <c r="C209" s="1601">
        <f t="shared" ref="C209:G214" si="2">C7</f>
        <v>2015</v>
      </c>
      <c r="D209" s="798">
        <f t="shared" si="2"/>
        <v>0</v>
      </c>
      <c r="E209" s="1601">
        <f t="shared" si="2"/>
        <v>2015</v>
      </c>
      <c r="F209" s="798">
        <f t="shared" si="2"/>
        <v>0</v>
      </c>
      <c r="G209" s="1601">
        <f t="shared" si="2"/>
        <v>2014</v>
      </c>
      <c r="H209" s="2999">
        <f t="shared" si="1"/>
        <v>0</v>
      </c>
    </row>
    <row r="210" spans="2:8">
      <c r="B210" s="747" t="str">
        <f>B8</f>
        <v>תקבולים  לא רגילים</v>
      </c>
      <c r="C210" s="350">
        <f t="shared" si="2"/>
        <v>0</v>
      </c>
      <c r="D210" s="798">
        <f t="shared" si="2"/>
        <v>0</v>
      </c>
      <c r="E210" s="350">
        <f t="shared" si="2"/>
        <v>0</v>
      </c>
      <c r="F210" s="798">
        <f t="shared" si="2"/>
        <v>0</v>
      </c>
      <c r="G210" s="798">
        <f t="shared" si="2"/>
        <v>0</v>
      </c>
      <c r="H210" s="2999">
        <f t="shared" si="1"/>
        <v>0</v>
      </c>
    </row>
    <row r="211" spans="2:8">
      <c r="B211" s="800" t="str">
        <f>IF(AND($C9=0,$E9=0,$G9=0),"",$B9)</f>
        <v/>
      </c>
      <c r="C211" s="326">
        <f t="shared" si="2"/>
        <v>0</v>
      </c>
      <c r="D211" s="326">
        <f t="shared" si="2"/>
        <v>0</v>
      </c>
      <c r="E211" s="326">
        <f t="shared" si="2"/>
        <v>0</v>
      </c>
      <c r="F211" s="761">
        <f t="shared" si="2"/>
        <v>0</v>
      </c>
      <c r="G211" s="326">
        <f t="shared" si="2"/>
        <v>0</v>
      </c>
      <c r="H211" s="3000">
        <f t="shared" si="1"/>
        <v>0</v>
      </c>
    </row>
    <row r="212" spans="2:8">
      <c r="B212" s="800" t="str">
        <f>IF(AND($C10=0,$E10=0,$G10=0),"",$B10)</f>
        <v/>
      </c>
      <c r="C212" s="326">
        <f t="shared" si="2"/>
        <v>0</v>
      </c>
      <c r="D212" s="326">
        <f t="shared" si="2"/>
        <v>0</v>
      </c>
      <c r="E212" s="326">
        <f t="shared" si="2"/>
        <v>0</v>
      </c>
      <c r="F212" s="761">
        <f t="shared" si="2"/>
        <v>0</v>
      </c>
      <c r="G212" s="326">
        <f t="shared" si="2"/>
        <v>0</v>
      </c>
      <c r="H212" s="3000">
        <f t="shared" si="1"/>
        <v>0</v>
      </c>
    </row>
    <row r="213" spans="2:8">
      <c r="B213" s="800" t="str">
        <f>IF(AND($C11=0,$E11=0,$G11=0),"",$B11)</f>
        <v>החזר משנים קודמות (ראה ביאור 12)</v>
      </c>
      <c r="C213" s="326">
        <f t="shared" si="2"/>
        <v>3000</v>
      </c>
      <c r="D213" s="326">
        <f t="shared" si="2"/>
        <v>0</v>
      </c>
      <c r="E213" s="326">
        <f t="shared" si="2"/>
        <v>3323</v>
      </c>
      <c r="F213" s="761">
        <f t="shared" si="2"/>
        <v>0</v>
      </c>
      <c r="G213" s="326">
        <f t="shared" si="2"/>
        <v>5008</v>
      </c>
      <c r="H213" s="3000">
        <f t="shared" si="1"/>
        <v>0</v>
      </c>
    </row>
    <row r="214" spans="2:8">
      <c r="B214" s="800" t="str">
        <f>IF(AND($C12=0,$E12=0,$G12=0),"",$B12)</f>
        <v/>
      </c>
      <c r="C214" s="326">
        <f t="shared" si="2"/>
        <v>0</v>
      </c>
      <c r="D214" s="326">
        <f t="shared" si="2"/>
        <v>0</v>
      </c>
      <c r="E214" s="326">
        <f t="shared" si="2"/>
        <v>0</v>
      </c>
      <c r="F214" s="761">
        <f t="shared" si="2"/>
        <v>0</v>
      </c>
      <c r="G214" s="326">
        <f t="shared" si="2"/>
        <v>0</v>
      </c>
      <c r="H214" s="3000">
        <f t="shared" si="1"/>
        <v>0</v>
      </c>
    </row>
    <row r="215" spans="2:8">
      <c r="B215" s="800" t="str">
        <f>IF(AND($B13&lt;&gt;"(***)",OR($C13&lt;&gt;0,$E13&lt;&gt;0,$G13&lt;&gt;0)),$B13,"")</f>
        <v/>
      </c>
      <c r="C215" s="326">
        <f>C13</f>
        <v>0</v>
      </c>
      <c r="D215" s="326"/>
      <c r="E215" s="326">
        <f>E13</f>
        <v>0</v>
      </c>
      <c r="F215" s="761"/>
      <c r="G215" s="326">
        <f>G13</f>
        <v>0</v>
      </c>
      <c r="H215" s="3000"/>
    </row>
    <row r="216" spans="2:8">
      <c r="B216" s="743" t="str">
        <f>IF(AND($B14&lt;&gt;"(***)",OR($C14&lt;&gt;0,$E14&lt;&gt;0,$G14&lt;&gt;0)),$B14,"")</f>
        <v>הכנסות מימון</v>
      </c>
      <c r="C216" s="326">
        <f>C14</f>
        <v>8274</v>
      </c>
      <c r="D216" s="326">
        <f>D14</f>
        <v>0</v>
      </c>
      <c r="E216" s="326">
        <f>E14</f>
        <v>4156</v>
      </c>
      <c r="F216" s="761">
        <f>F14</f>
        <v>0</v>
      </c>
      <c r="G216" s="326">
        <f>G14</f>
        <v>7197</v>
      </c>
      <c r="H216" s="3000">
        <f t="shared" ref="H216:H228" si="3">H14</f>
        <v>0</v>
      </c>
    </row>
    <row r="217" spans="2:8">
      <c r="B217" s="743" t="str">
        <f>IF(AND($B15&lt;&gt;"(***)",OR($C15&lt;&gt;0,$E15&lt;&gt;0,$G15&lt;&gt;0)),$B15,"")</f>
        <v>העברה מקרנות פיתוח לכיסוי פרעון מלוות</v>
      </c>
      <c r="C217" s="326">
        <f>C15</f>
        <v>19100</v>
      </c>
      <c r="D217" s="326">
        <f>D15</f>
        <v>0</v>
      </c>
      <c r="E217" s="326">
        <f>E15</f>
        <v>17518</v>
      </c>
      <c r="F217" s="761">
        <f>F15</f>
        <v>0</v>
      </c>
      <c r="G217" s="326">
        <f>G15</f>
        <v>20255</v>
      </c>
      <c r="H217" s="3000">
        <f t="shared" si="3"/>
        <v>0</v>
      </c>
    </row>
    <row r="218" spans="2:8">
      <c r="B218" s="743" t="str">
        <f>IF(AND($B16&lt;&gt;"(***)",OR($C16&lt;&gt;0,$E16&lt;&gt;0,$G16&lt;&gt;0)),$B16,"")</f>
        <v>השתתפות משרד הפנים לפיצויי שכר</v>
      </c>
      <c r="C218" s="326">
        <f>C16</f>
        <v>380</v>
      </c>
      <c r="D218" s="326">
        <f>D16</f>
        <v>0</v>
      </c>
      <c r="E218" s="326">
        <f>E16</f>
        <v>228</v>
      </c>
      <c r="F218" s="761">
        <f>F16</f>
        <v>0</v>
      </c>
      <c r="G218" s="326">
        <f>G16</f>
        <v>312</v>
      </c>
      <c r="H218" s="3000">
        <f t="shared" si="3"/>
        <v>0</v>
      </c>
    </row>
    <row r="219" spans="2:8">
      <c r="B219" s="743" t="str">
        <f>IF(AND($B17&lt;&gt;"(***)",OR($C17&lt;&gt;0,$E17&lt;&gt;0,$G17&lt;&gt;0)),$B17,"")</f>
        <v>העברה מעודפים מצטברים בתקציב הרגיל</v>
      </c>
      <c r="C219" s="326">
        <f t="shared" ref="C219:G220" si="4">C17</f>
        <v>6700</v>
      </c>
      <c r="D219" s="326">
        <f t="shared" si="4"/>
        <v>0</v>
      </c>
      <c r="E219" s="326">
        <f t="shared" si="4"/>
        <v>6700</v>
      </c>
      <c r="F219" s="761">
        <f t="shared" si="4"/>
        <v>0</v>
      </c>
      <c r="G219" s="326">
        <f t="shared" si="4"/>
        <v>0</v>
      </c>
      <c r="H219" s="3000">
        <f t="shared" si="3"/>
        <v>0</v>
      </c>
    </row>
    <row r="220" spans="2:8">
      <c r="B220" s="800" t="str">
        <f>IF(AND($C18=0,$E18=0,$G18=0),"",$B18)</f>
        <v>תקבולים אחרים</v>
      </c>
      <c r="C220" s="326">
        <f t="shared" si="4"/>
        <v>1070</v>
      </c>
      <c r="D220" s="326">
        <f t="shared" si="4"/>
        <v>0</v>
      </c>
      <c r="E220" s="326">
        <f t="shared" si="4"/>
        <v>1228</v>
      </c>
      <c r="F220" s="761">
        <f t="shared" si="4"/>
        <v>0</v>
      </c>
      <c r="G220" s="326">
        <f t="shared" si="4"/>
        <v>640</v>
      </c>
      <c r="H220" s="3000">
        <f t="shared" si="3"/>
        <v>0</v>
      </c>
    </row>
    <row r="221" spans="2:8" ht="13.8" thickBot="1">
      <c r="B221" s="350">
        <f t="shared" ref="B221:G223" si="5">B19</f>
        <v>0</v>
      </c>
      <c r="C221" s="759">
        <f t="shared" si="5"/>
        <v>38524</v>
      </c>
      <c r="D221" s="326">
        <f t="shared" si="5"/>
        <v>0</v>
      </c>
      <c r="E221" s="759">
        <f t="shared" si="5"/>
        <v>33153</v>
      </c>
      <c r="F221" s="761">
        <f t="shared" si="5"/>
        <v>0</v>
      </c>
      <c r="G221" s="759">
        <f t="shared" si="5"/>
        <v>33412</v>
      </c>
      <c r="H221" s="3000">
        <f t="shared" si="3"/>
        <v>0</v>
      </c>
    </row>
    <row r="222" spans="2:8" ht="13.8" thickTop="1">
      <c r="B222" s="350">
        <f t="shared" si="5"/>
        <v>0</v>
      </c>
      <c r="C222" s="326">
        <f t="shared" si="5"/>
        <v>0</v>
      </c>
      <c r="D222" s="326">
        <f t="shared" si="5"/>
        <v>0</v>
      </c>
      <c r="E222" s="761">
        <f t="shared" si="5"/>
        <v>0</v>
      </c>
      <c r="F222" s="761">
        <f t="shared" si="5"/>
        <v>0</v>
      </c>
      <c r="G222" s="326">
        <f t="shared" si="5"/>
        <v>0</v>
      </c>
      <c r="H222" s="3000">
        <f t="shared" si="3"/>
        <v>0</v>
      </c>
    </row>
    <row r="223" spans="2:8">
      <c r="B223" s="747" t="str">
        <f t="shared" si="5"/>
        <v>תשלומים לא רגילים</v>
      </c>
      <c r="C223" s="1601" t="str">
        <f t="shared" si="5"/>
        <v>תקציב 2015</v>
      </c>
      <c r="D223" s="326">
        <f t="shared" si="5"/>
        <v>0</v>
      </c>
      <c r="E223" s="1601" t="str">
        <f t="shared" si="5"/>
        <v>ביצוע 2015</v>
      </c>
      <c r="F223" s="761">
        <f t="shared" si="5"/>
        <v>0</v>
      </c>
      <c r="G223" s="1601" t="str">
        <f t="shared" si="5"/>
        <v>ביצוע 2014</v>
      </c>
      <c r="H223" s="3000">
        <f t="shared" si="3"/>
        <v>0</v>
      </c>
    </row>
    <row r="224" spans="2:8">
      <c r="B224" s="800" t="str">
        <f>IF(AND($C22=0,$E22=0,$G22=0),"",$B22)</f>
        <v/>
      </c>
      <c r="C224" s="326">
        <f t="shared" ref="C224:G228" si="6">C22</f>
        <v>0</v>
      </c>
      <c r="D224" s="326">
        <f t="shared" si="6"/>
        <v>0</v>
      </c>
      <c r="E224" s="326">
        <f t="shared" si="6"/>
        <v>0</v>
      </c>
      <c r="F224" s="761">
        <f t="shared" si="6"/>
        <v>0</v>
      </c>
      <c r="G224" s="326">
        <f t="shared" si="6"/>
        <v>0</v>
      </c>
      <c r="H224" s="3000">
        <f t="shared" si="3"/>
        <v>0</v>
      </c>
    </row>
    <row r="225" spans="2:8">
      <c r="B225" s="800" t="str">
        <f>IF(AND($C23=0,$E23=0,$G23=0),"",$B23)</f>
        <v>הנחות במיסים</v>
      </c>
      <c r="C225" s="326">
        <f t="shared" si="6"/>
        <v>49500</v>
      </c>
      <c r="D225" s="326">
        <f t="shared" si="6"/>
        <v>0</v>
      </c>
      <c r="E225" s="326">
        <f t="shared" si="6"/>
        <v>45760</v>
      </c>
      <c r="F225" s="761">
        <f t="shared" si="6"/>
        <v>0</v>
      </c>
      <c r="G225" s="326">
        <f t="shared" si="6"/>
        <v>44835</v>
      </c>
      <c r="H225" s="3000">
        <f t="shared" si="3"/>
        <v>0</v>
      </c>
    </row>
    <row r="226" spans="2:8">
      <c r="B226" s="800" t="str">
        <f>IF(AND($C24=0,$E24=0,$G24=0),"",$B24)</f>
        <v>תשלומי פנסיה</v>
      </c>
      <c r="C226" s="326">
        <f t="shared" si="6"/>
        <v>27250</v>
      </c>
      <c r="D226" s="326">
        <f t="shared" si="6"/>
        <v>0</v>
      </c>
      <c r="E226" s="326">
        <f t="shared" si="6"/>
        <v>26194</v>
      </c>
      <c r="F226" s="761">
        <f t="shared" si="6"/>
        <v>0</v>
      </c>
      <c r="G226" s="326">
        <f t="shared" si="6"/>
        <v>24647</v>
      </c>
      <c r="H226" s="3000">
        <f t="shared" si="3"/>
        <v>0</v>
      </c>
    </row>
    <row r="227" spans="2:8">
      <c r="B227" s="800" t="str">
        <f>IF(AND($C25=0,$E25=0,$G25=0),"",$B25)</f>
        <v>תשלומים בגין סיום יחסי עובד מעביד</v>
      </c>
      <c r="C227" s="326">
        <f t="shared" si="6"/>
        <v>2900</v>
      </c>
      <c r="D227" s="326">
        <f t="shared" si="6"/>
        <v>0</v>
      </c>
      <c r="E227" s="326">
        <f t="shared" si="6"/>
        <v>1610</v>
      </c>
      <c r="F227" s="761">
        <f t="shared" si="6"/>
        <v>0</v>
      </c>
      <c r="G227" s="326">
        <f t="shared" si="6"/>
        <v>1267</v>
      </c>
      <c r="H227" s="3000">
        <f t="shared" si="3"/>
        <v>0</v>
      </c>
    </row>
    <row r="228" spans="2:8">
      <c r="B228" s="800" t="str">
        <f>IF(AND($C26=0,$E26=0,$G26=0),"",$B26)</f>
        <v>מיסים בשל הוצאות עודפות</v>
      </c>
      <c r="C228" s="326">
        <f t="shared" si="6"/>
        <v>2219</v>
      </c>
      <c r="D228" s="326">
        <f t="shared" si="6"/>
        <v>0</v>
      </c>
      <c r="E228" s="326">
        <f t="shared" si="6"/>
        <v>3318</v>
      </c>
      <c r="F228" s="761">
        <f t="shared" si="6"/>
        <v>0</v>
      </c>
      <c r="G228" s="326">
        <f t="shared" si="6"/>
        <v>2316</v>
      </c>
      <c r="H228" s="3000">
        <f t="shared" si="3"/>
        <v>0</v>
      </c>
    </row>
    <row r="229" spans="2:8">
      <c r="B229" s="800" t="str">
        <f>IF(AND($B27&lt;&gt;"(***)",OR($C27&lt;&gt;0,$E27&lt;&gt;0,$G27&lt;&gt;0)),$B27,"")</f>
        <v/>
      </c>
      <c r="C229" s="326">
        <f t="shared" ref="C229:C236" si="7">C27</f>
        <v>0</v>
      </c>
      <c r="D229" s="326"/>
      <c r="E229" s="326">
        <f t="shared" ref="E229:E236" si="8">E27</f>
        <v>0</v>
      </c>
      <c r="F229" s="761"/>
      <c r="G229" s="326">
        <f t="shared" ref="G229:G236" si="9">G27</f>
        <v>0</v>
      </c>
      <c r="H229" s="3000"/>
    </row>
    <row r="230" spans="2:8">
      <c r="B230" s="743" t="str">
        <f>IF(AND($B28&lt;&gt;"(***)",OR($C28&lt;&gt;0,$E28&lt;&gt;0,$G28&lt;&gt;0)),$B28,"")</f>
        <v/>
      </c>
      <c r="C230" s="326">
        <f t="shared" si="7"/>
        <v>0</v>
      </c>
      <c r="D230" s="326">
        <f t="shared" ref="D230:D236" si="10">D28</f>
        <v>0</v>
      </c>
      <c r="E230" s="326">
        <f t="shared" si="8"/>
        <v>0</v>
      </c>
      <c r="F230" s="761">
        <f t="shared" ref="F230:F236" si="11">F28</f>
        <v>0</v>
      </c>
      <c r="G230" s="326">
        <f t="shared" si="9"/>
        <v>0</v>
      </c>
      <c r="H230" s="3000">
        <f t="shared" ref="H230:H236" si="12">H28</f>
        <v>0</v>
      </c>
    </row>
    <row r="231" spans="2:8">
      <c r="B231" s="743" t="str">
        <f>IF(AND($B29&lt;&gt;"(***)",OR($C29&lt;&gt;0,$E29&lt;&gt;0,$G29&lt;&gt;0)),$B29,"")</f>
        <v>הוצאות בגין שנים קודמות (ראה ביאור 13)</v>
      </c>
      <c r="C231" s="326">
        <f t="shared" si="7"/>
        <v>2500</v>
      </c>
      <c r="D231" s="326">
        <f t="shared" si="10"/>
        <v>0</v>
      </c>
      <c r="E231" s="326">
        <f t="shared" si="8"/>
        <v>3675</v>
      </c>
      <c r="F231" s="761">
        <f t="shared" si="11"/>
        <v>0</v>
      </c>
      <c r="G231" s="326">
        <f t="shared" si="9"/>
        <v>3011</v>
      </c>
      <c r="H231" s="3000">
        <f t="shared" si="12"/>
        <v>0</v>
      </c>
    </row>
    <row r="232" spans="2:8">
      <c r="B232" s="743" t="str">
        <f>IF(AND($B30&lt;&gt;"(***)",OR($C30&lt;&gt;0,$E30&lt;&gt;0,$G30&lt;&gt;0)),$B30,"")</f>
        <v>רזרבה להוצאות</v>
      </c>
      <c r="C232" s="326">
        <f t="shared" si="7"/>
        <v>7770</v>
      </c>
      <c r="D232" s="326">
        <f t="shared" si="10"/>
        <v>0</v>
      </c>
      <c r="E232" s="326">
        <f t="shared" si="8"/>
        <v>6569</v>
      </c>
      <c r="F232" s="761">
        <f t="shared" si="11"/>
        <v>0</v>
      </c>
      <c r="G232" s="326">
        <f t="shared" si="9"/>
        <v>5488</v>
      </c>
      <c r="H232" s="3000">
        <f t="shared" si="12"/>
        <v>0</v>
      </c>
    </row>
    <row r="233" spans="2:8">
      <c r="B233" s="743" t="str">
        <f>IF(AND($B31&lt;&gt;"(***)",OR($C31&lt;&gt;0,$E31&lt;&gt;0,$G31&lt;&gt;0)),$B31,"")</f>
        <v>הפרשה להלוואה לחברה לפיתוח</v>
      </c>
      <c r="C233" s="326">
        <f t="shared" si="7"/>
        <v>3500</v>
      </c>
      <c r="D233" s="326">
        <f t="shared" si="10"/>
        <v>0</v>
      </c>
      <c r="E233" s="326">
        <f t="shared" si="8"/>
        <v>3500</v>
      </c>
      <c r="F233" s="761">
        <f t="shared" si="11"/>
        <v>0</v>
      </c>
      <c r="G233" s="326">
        <f t="shared" si="9"/>
        <v>0</v>
      </c>
      <c r="H233" s="3000">
        <f t="shared" si="12"/>
        <v>0</v>
      </c>
    </row>
    <row r="234" spans="2:8">
      <c r="B234" s="800" t="str">
        <f>IF(AND($C32=0,$E32=0,$G32=0),"",$B32)</f>
        <v>תשלומים אחרים</v>
      </c>
      <c r="C234" s="326">
        <f t="shared" si="7"/>
        <v>1230</v>
      </c>
      <c r="D234" s="326">
        <f t="shared" si="10"/>
        <v>0</v>
      </c>
      <c r="E234" s="326">
        <f t="shared" si="8"/>
        <v>15778</v>
      </c>
      <c r="F234" s="761">
        <f t="shared" si="11"/>
        <v>0</v>
      </c>
      <c r="G234" s="326">
        <f t="shared" si="9"/>
        <v>7946</v>
      </c>
      <c r="H234" s="3000">
        <f t="shared" si="12"/>
        <v>0</v>
      </c>
    </row>
    <row r="235" spans="2:8">
      <c r="B235" s="743" t="str">
        <f>IF(AND($B33&lt;&gt;"(***)",OR($C33&lt;&gt;0,$E33&lt;&gt;0,$G33&lt;&gt;0)),$B33,"")</f>
        <v>העברה לקרנות פיתוח</v>
      </c>
      <c r="C235" s="326">
        <f t="shared" si="7"/>
        <v>0</v>
      </c>
      <c r="D235" s="326">
        <f t="shared" si="10"/>
        <v>0</v>
      </c>
      <c r="E235" s="326">
        <f t="shared" si="8"/>
        <v>25000</v>
      </c>
      <c r="F235" s="761">
        <f t="shared" si="11"/>
        <v>0</v>
      </c>
      <c r="G235" s="326">
        <f t="shared" si="9"/>
        <v>15000</v>
      </c>
      <c r="H235" s="3000">
        <f t="shared" si="12"/>
        <v>0</v>
      </c>
    </row>
    <row r="236" spans="2:8" ht="13.8" thickBot="1">
      <c r="B236" s="350">
        <f>B34</f>
        <v>0</v>
      </c>
      <c r="C236" s="759">
        <f t="shared" si="7"/>
        <v>96869</v>
      </c>
      <c r="D236" s="326">
        <f t="shared" si="10"/>
        <v>0</v>
      </c>
      <c r="E236" s="759">
        <f t="shared" si="8"/>
        <v>131404</v>
      </c>
      <c r="F236" s="761">
        <f t="shared" si="11"/>
        <v>0</v>
      </c>
      <c r="G236" s="759">
        <f t="shared" si="9"/>
        <v>104510</v>
      </c>
      <c r="H236" s="3000">
        <f t="shared" si="12"/>
        <v>0</v>
      </c>
    </row>
    <row r="237" spans="2:8" ht="13.8" thickTop="1">
      <c r="B237" s="743" t="str">
        <f>IF($B35&lt;&gt;"(***)",$B35,"")</f>
        <v/>
      </c>
    </row>
  </sheetData>
  <sheetProtection password="83C1" sheet="1" objects="1" scenarios="1"/>
  <mergeCells count="6">
    <mergeCell ref="C1:I1"/>
    <mergeCell ref="C2:I2"/>
    <mergeCell ref="B204:G204"/>
    <mergeCell ref="B208:B209"/>
    <mergeCell ref="B205:G205"/>
    <mergeCell ref="B6:B7"/>
  </mergeCells>
  <phoneticPr fontId="4" type="noConversion"/>
  <hyperlinks>
    <hyperlink ref="A4" location="'תוכן הענינים'!A1" tooltip="לחץ להצגת גליון תוכן הענינים" display="הצג תוכן ענינים"/>
  </hyperlinks>
  <pageMargins left="0.75" right="0.5" top="0.75" bottom="1" header="0.25" footer="0.5"/>
  <pageSetup paperSize="9" scale="95" orientation="portrait" blackAndWhite="1" horizontalDpi="300" verticalDpi="300" r:id="rId1"/>
  <headerFooter alignWithMargins="0">
    <oddHeader>&amp;L&amp;8&amp;A</oddHeader>
    <oddFooter>&amp;C&amp;8&amp;P</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3">
    <pageSetUpPr autoPageBreaks="0"/>
  </sheetPr>
  <dimension ref="A1:S224"/>
  <sheetViews>
    <sheetView showGridLines="0" showZeros="0" rightToLeft="1" showOutlineSymbols="0" zoomScaleNormal="100" zoomScaleSheetLayoutView="75" workbookViewId="0">
      <selection activeCell="A4" sqref="A4"/>
    </sheetView>
  </sheetViews>
  <sheetFormatPr defaultColWidth="9.109375" defaultRowHeight="13.2"/>
  <cols>
    <col min="1" max="1" width="2.44140625" style="297" customWidth="1"/>
    <col min="2" max="2" width="18.6640625" style="297" customWidth="1"/>
    <col min="3" max="3" width="11.6640625" style="297" customWidth="1"/>
    <col min="4" max="4" width="11.6640625" style="350" customWidth="1"/>
    <col min="5" max="5" width="11.6640625" style="297" customWidth="1"/>
    <col min="6" max="6" width="11.6640625" style="350" customWidth="1"/>
    <col min="7" max="12" width="11.6640625" style="297" customWidth="1"/>
    <col min="13" max="13" width="11.6640625" style="350" customWidth="1"/>
    <col min="14" max="14" width="11.6640625" style="297" customWidth="1"/>
    <col min="15" max="15" width="11.6640625" style="350" customWidth="1"/>
    <col min="16" max="16" width="11.6640625" style="297" customWidth="1"/>
    <col min="17" max="16384" width="9.109375" style="297"/>
  </cols>
  <sheetData>
    <row r="1" spans="1:18" ht="22.5" customHeight="1">
      <c r="A1" s="635"/>
      <c r="B1" s="813"/>
      <c r="C1" s="813"/>
      <c r="D1" s="3394" t="str">
        <f>'הגדרות כלליות'!D6</f>
        <v>עירית הרצליה</v>
      </c>
      <c r="E1" s="3493"/>
      <c r="F1" s="3493"/>
      <c r="G1" s="3493"/>
      <c r="H1" s="3493"/>
      <c r="I1" s="3493"/>
      <c r="J1" s="3493"/>
      <c r="K1" s="3493"/>
      <c r="L1" s="3493"/>
      <c r="M1" s="3493"/>
      <c r="N1" s="813"/>
      <c r="O1" s="769"/>
      <c r="P1" s="813"/>
      <c r="Q1" s="813"/>
      <c r="R1" s="637"/>
    </row>
    <row r="2" spans="1:18" ht="15.6">
      <c r="A2" s="635"/>
      <c r="B2" s="813"/>
      <c r="C2" s="813"/>
      <c r="D2" s="3394" t="s">
        <v>759</v>
      </c>
      <c r="E2" s="3493"/>
      <c r="F2" s="3493"/>
      <c r="G2" s="3493"/>
      <c r="H2" s="3493"/>
      <c r="I2" s="3493"/>
      <c r="J2" s="3493"/>
      <c r="K2" s="3493"/>
      <c r="L2" s="3493"/>
      <c r="M2" s="3493"/>
      <c r="N2" s="813"/>
      <c r="O2" s="769"/>
      <c r="P2" s="813"/>
      <c r="Q2" s="813"/>
      <c r="R2" s="637"/>
    </row>
    <row r="3" spans="1:18" ht="15.6">
      <c r="A3" s="635"/>
      <c r="B3" s="813"/>
      <c r="C3" s="813"/>
      <c r="D3" s="3394" t="s">
        <v>338</v>
      </c>
      <c r="E3" s="3493"/>
      <c r="F3" s="3493"/>
      <c r="G3" s="3493"/>
      <c r="H3" s="3493"/>
      <c r="I3" s="3493"/>
      <c r="J3" s="3493"/>
      <c r="K3" s="3493"/>
      <c r="L3" s="3493"/>
      <c r="M3" s="3493"/>
      <c r="N3" s="813"/>
      <c r="O3" s="769"/>
      <c r="P3" s="813"/>
      <c r="Q3" s="813"/>
      <c r="R3" s="637"/>
    </row>
    <row r="4" spans="1:18" ht="29.25" customHeight="1">
      <c r="A4" s="7" t="s">
        <v>339</v>
      </c>
      <c r="B4" s="3005"/>
      <c r="C4" s="3004" t="s">
        <v>1153</v>
      </c>
      <c r="D4" s="814"/>
      <c r="E4" s="814"/>
      <c r="F4" s="814"/>
      <c r="G4" s="814"/>
      <c r="H4" s="814"/>
      <c r="I4" s="814"/>
      <c r="J4" s="814"/>
      <c r="K4" s="814"/>
      <c r="L4" s="814"/>
      <c r="M4" s="814"/>
      <c r="N4" s="645"/>
      <c r="O4" s="645"/>
      <c r="P4" s="645"/>
      <c r="Q4" s="645"/>
      <c r="R4" s="637"/>
    </row>
    <row r="5" spans="1:18" ht="31.5" customHeight="1">
      <c r="A5" s="3272" t="s">
        <v>486</v>
      </c>
      <c r="B5" s="3462" t="str">
        <f>CONCATENATE("בקרן לעבודות פיתוח, נרשמים תקבולי ה",'הגדרות כלליות'!D8," מהטלי ביוב והשבחה, מהשתתפות בעלים בעבודות פיתוח, מאגרת הנחת צינורות וממקורות אחרים, המיועדים למימון עבודות פיתוח,כל עוד לא נקבעה מסגרת תקציבית ספציפית אליה ניתן לזקוף תקבולים אלה.")</f>
        <v>בקרן לעבודות פיתוח, נרשמים תקבולי העירייה מהטלי ביוב והשבחה, מהשתתפות בעלים בעבודות פיתוח, מאגרת הנחת צינורות וממקורות אחרים, המיועדים למימון עבודות פיתוח,כל עוד לא נקבעה מסגרת תקציבית ספציפית אליה ניתן לזקוף תקבולים אלה.</v>
      </c>
      <c r="C5" s="3463"/>
      <c r="D5" s="3463"/>
      <c r="E5" s="3463"/>
      <c r="F5" s="3463"/>
      <c r="G5" s="3463"/>
      <c r="H5" s="3463"/>
      <c r="I5" s="3463"/>
      <c r="J5" s="3463"/>
      <c r="K5" s="3463"/>
      <c r="L5" s="3463"/>
      <c r="M5" s="645"/>
      <c r="N5" s="645"/>
      <c r="O5" s="645"/>
      <c r="P5" s="645"/>
      <c r="Q5" s="645"/>
      <c r="R5" s="637"/>
    </row>
    <row r="6" spans="1:18">
      <c r="A6" s="234" t="s">
        <v>493</v>
      </c>
      <c r="B6" s="3116" t="str">
        <f>CONCATENATE("כספי הקרן עד לשימוש בהם מנוהלים ביחד עם חשבונות הבנקים השוטפים של ה",SugGufMevukar," ולא בחשבונות בנקים ספציפיים, (ראה ביאור 3 (א) לעיל).")</f>
        <v>כספי הקרן עד לשימוש בהם מנוהלים ביחד עם חשבונות הבנקים השוטפים של העירייה ולא בחשבונות בנקים ספציפיים, (ראה ביאור 3 (א) לעיל).</v>
      </c>
      <c r="C6" s="3116"/>
      <c r="D6" s="3116"/>
      <c r="E6" s="3116"/>
      <c r="F6" s="3116"/>
      <c r="G6" s="3116"/>
      <c r="H6" s="3116"/>
      <c r="I6" s="646"/>
      <c r="J6" s="646"/>
      <c r="K6" s="646"/>
      <c r="L6" s="646"/>
      <c r="M6" s="645"/>
      <c r="N6" s="645"/>
      <c r="O6" s="645"/>
      <c r="P6" s="645"/>
      <c r="Q6" s="645"/>
      <c r="R6" s="637"/>
    </row>
    <row r="7" spans="1:18">
      <c r="A7" s="234" t="s">
        <v>564</v>
      </c>
      <c r="B7" s="3116" t="str">
        <f>CONCATENATE(" ה",SugGufMevukar," ","נוהגת לזקוף את התשואה המתקבלת בגין ההשקעות של הקרנות לקרנות הפיתוח .")</f>
        <v xml:space="preserve"> העירייה נוהגת לזקוף את התשואה המתקבלת בגין ההשקעות של הקרנות לקרנות הפיתוח .</v>
      </c>
      <c r="C7" s="3116"/>
      <c r="D7" s="3116"/>
      <c r="E7" s="3116"/>
      <c r="F7" s="809"/>
      <c r="G7" s="646"/>
      <c r="H7" s="656"/>
      <c r="I7" s="646"/>
      <c r="J7" s="646"/>
      <c r="K7" s="646"/>
      <c r="L7" s="646"/>
      <c r="M7" s="645"/>
      <c r="N7" s="645"/>
      <c r="O7" s="645"/>
      <c r="P7" s="645"/>
      <c r="Q7" s="645"/>
      <c r="R7" s="637"/>
    </row>
    <row r="8" spans="1:18">
      <c r="A8" s="234" t="s">
        <v>579</v>
      </c>
      <c r="B8" s="3116" t="s">
        <v>1145</v>
      </c>
      <c r="C8" s="3116"/>
      <c r="D8" s="3116"/>
      <c r="E8" s="3116"/>
      <c r="F8" s="3116"/>
      <c r="G8" s="3116"/>
      <c r="H8" s="656"/>
      <c r="I8" s="646"/>
      <c r="J8" s="646"/>
      <c r="K8" s="646"/>
      <c r="L8" s="646"/>
      <c r="M8" s="645"/>
      <c r="N8" s="645"/>
      <c r="O8" s="645"/>
      <c r="P8" s="645"/>
      <c r="Q8" s="645"/>
      <c r="R8" s="637"/>
    </row>
    <row r="9" spans="1:18">
      <c r="A9" s="234"/>
      <c r="B9" s="3116"/>
      <c r="C9" s="3116"/>
      <c r="D9" s="3116"/>
      <c r="E9" s="3116"/>
      <c r="F9" s="809"/>
      <c r="G9" s="646"/>
      <c r="H9" s="656"/>
      <c r="I9" s="646"/>
      <c r="J9" s="646"/>
      <c r="K9" s="646"/>
      <c r="L9" s="646"/>
      <c r="M9" s="645"/>
      <c r="N9" s="645"/>
      <c r="O9" s="645"/>
      <c r="P9" s="645"/>
      <c r="Q9" s="645"/>
      <c r="R9" s="637"/>
    </row>
    <row r="10" spans="1:18" ht="21.75" customHeight="1">
      <c r="A10" s="234" t="s">
        <v>585</v>
      </c>
      <c r="B10" s="3505" t="s">
        <v>2176</v>
      </c>
      <c r="C10" s="3506"/>
      <c r="D10" s="3507"/>
      <c r="E10" s="645"/>
      <c r="F10" s="653"/>
      <c r="G10" s="645"/>
      <c r="H10" s="645"/>
      <c r="I10" s="645"/>
      <c r="J10" s="645"/>
      <c r="K10" s="645"/>
      <c r="L10" s="645"/>
      <c r="M10" s="653"/>
      <c r="N10" s="645"/>
      <c r="O10" s="653"/>
      <c r="P10" s="645"/>
      <c r="Q10" s="645"/>
      <c r="R10" s="637"/>
    </row>
    <row r="11" spans="1:18" s="3299" customFormat="1" ht="9.75" customHeight="1">
      <c r="A11" s="234"/>
      <c r="B11" s="3296"/>
      <c r="C11" s="3297"/>
      <c r="D11" s="3298"/>
      <c r="E11" s="645"/>
      <c r="F11" s="653"/>
      <c r="G11" s="645"/>
      <c r="H11" s="645"/>
      <c r="I11" s="645"/>
      <c r="J11" s="645"/>
      <c r="K11" s="645"/>
      <c r="L11" s="645"/>
      <c r="M11" s="653"/>
      <c r="N11" s="645"/>
      <c r="O11" s="653"/>
      <c r="P11" s="645"/>
      <c r="Q11" s="645"/>
      <c r="R11" s="637"/>
    </row>
    <row r="12" spans="1:18" ht="39.6">
      <c r="A12" s="645"/>
      <c r="B12" s="815"/>
      <c r="C12" s="816" t="s">
        <v>765</v>
      </c>
      <c r="D12" s="816" t="s">
        <v>766</v>
      </c>
      <c r="E12" s="816" t="s">
        <v>555</v>
      </c>
      <c r="F12" s="816" t="s">
        <v>17</v>
      </c>
      <c r="G12" s="816" t="s">
        <v>556</v>
      </c>
      <c r="H12" s="816" t="s">
        <v>767</v>
      </c>
      <c r="I12" s="816" t="s">
        <v>482</v>
      </c>
      <c r="J12" s="816" t="s">
        <v>768</v>
      </c>
      <c r="K12" s="816" t="s">
        <v>28</v>
      </c>
      <c r="L12" s="816" t="s">
        <v>29</v>
      </c>
      <c r="M12" s="816" t="s">
        <v>769</v>
      </c>
      <c r="N12" s="816" t="s">
        <v>770</v>
      </c>
      <c r="O12" s="816" t="s">
        <v>483</v>
      </c>
      <c r="P12" s="817" t="s">
        <v>771</v>
      </c>
      <c r="Q12" s="645"/>
      <c r="R12" s="637"/>
    </row>
    <row r="13" spans="1:18" ht="18" customHeight="1">
      <c r="A13" s="645"/>
      <c r="B13" s="774" t="s">
        <v>772</v>
      </c>
      <c r="C13" s="818"/>
      <c r="D13" s="407"/>
      <c r="E13" s="818"/>
      <c r="F13" s="407"/>
      <c r="G13" s="818"/>
      <c r="H13" s="818"/>
      <c r="I13" s="818"/>
      <c r="J13" s="818"/>
      <c r="K13" s="818"/>
      <c r="L13" s="818"/>
      <c r="M13" s="407"/>
      <c r="N13" s="818"/>
      <c r="O13" s="407"/>
      <c r="P13" s="819"/>
      <c r="Q13" s="645"/>
      <c r="R13" s="637"/>
    </row>
    <row r="14" spans="1:18" ht="13.8" thickBot="1">
      <c r="A14" s="645"/>
      <c r="B14" s="789" t="s">
        <v>773</v>
      </c>
      <c r="C14" s="820">
        <v>128193</v>
      </c>
      <c r="D14" s="820">
        <v>267051</v>
      </c>
      <c r="E14" s="820">
        <v>5987</v>
      </c>
      <c r="F14" s="820">
        <v>162900</v>
      </c>
      <c r="G14" s="820">
        <v>35000</v>
      </c>
      <c r="H14" s="820">
        <v>9512</v>
      </c>
      <c r="I14" s="821">
        <f t="shared" ref="I14:I24" si="0">SUM(D14:H14)</f>
        <v>480450</v>
      </c>
      <c r="J14" s="820">
        <v>229573</v>
      </c>
      <c r="K14" s="820">
        <v>38163</v>
      </c>
      <c r="L14" s="820"/>
      <c r="M14" s="820">
        <v>162900</v>
      </c>
      <c r="N14" s="820">
        <v>41</v>
      </c>
      <c r="O14" s="821">
        <f t="shared" ref="O14:O24" si="1">SUM(J14:N14)</f>
        <v>430677</v>
      </c>
      <c r="P14" s="822">
        <f t="shared" ref="P14:P24" si="2">C14+I14-O14</f>
        <v>177966</v>
      </c>
      <c r="Q14" s="645"/>
      <c r="R14" s="637"/>
    </row>
    <row r="15" spans="1:18" ht="13.8" thickTop="1">
      <c r="A15" s="645"/>
      <c r="B15" s="789" t="s">
        <v>774</v>
      </c>
      <c r="C15" s="823">
        <v>94050</v>
      </c>
      <c r="D15" s="823">
        <v>176321</v>
      </c>
      <c r="E15" s="823"/>
      <c r="F15" s="823">
        <v>46</v>
      </c>
      <c r="G15" s="823"/>
      <c r="H15" s="823"/>
      <c r="I15" s="824">
        <f t="shared" si="0"/>
        <v>176367</v>
      </c>
      <c r="J15" s="823"/>
      <c r="K15" s="823">
        <v>11092</v>
      </c>
      <c r="L15" s="823"/>
      <c r="M15" s="823">
        <v>193000</v>
      </c>
      <c r="N15" s="823"/>
      <c r="O15" s="824">
        <f t="shared" si="1"/>
        <v>204092</v>
      </c>
      <c r="P15" s="825">
        <f t="shared" si="2"/>
        <v>66325</v>
      </c>
      <c r="Q15" s="645"/>
      <c r="R15" s="637"/>
    </row>
    <row r="16" spans="1:18">
      <c r="A16" s="645"/>
      <c r="B16" s="826" t="s">
        <v>775</v>
      </c>
      <c r="C16" s="827"/>
      <c r="D16" s="827"/>
      <c r="E16" s="827"/>
      <c r="F16" s="827"/>
      <c r="G16" s="827"/>
      <c r="H16" s="827"/>
      <c r="I16" s="828">
        <f t="shared" si="0"/>
        <v>0</v>
      </c>
      <c r="J16" s="827"/>
      <c r="K16" s="827"/>
      <c r="L16" s="827"/>
      <c r="M16" s="827"/>
      <c r="N16" s="827"/>
      <c r="O16" s="828">
        <f t="shared" si="1"/>
        <v>0</v>
      </c>
      <c r="P16" s="829">
        <f t="shared" si="2"/>
        <v>0</v>
      </c>
      <c r="Q16" s="645"/>
      <c r="R16" s="637"/>
    </row>
    <row r="17" spans="1:19">
      <c r="A17" s="645"/>
      <c r="B17" s="826" t="s">
        <v>776</v>
      </c>
      <c r="C17" s="827">
        <v>4518</v>
      </c>
      <c r="D17" s="827"/>
      <c r="E17" s="827"/>
      <c r="F17" s="827"/>
      <c r="G17" s="827"/>
      <c r="H17" s="827"/>
      <c r="I17" s="828">
        <f t="shared" si="0"/>
        <v>0</v>
      </c>
      <c r="J17" s="827">
        <v>1542</v>
      </c>
      <c r="K17" s="827"/>
      <c r="L17" s="827"/>
      <c r="M17" s="827"/>
      <c r="N17" s="827">
        <v>53</v>
      </c>
      <c r="O17" s="828">
        <f t="shared" si="1"/>
        <v>1595</v>
      </c>
      <c r="P17" s="829">
        <f t="shared" si="2"/>
        <v>2923</v>
      </c>
      <c r="Q17" s="645"/>
      <c r="R17" s="637"/>
    </row>
    <row r="18" spans="1:19">
      <c r="A18" s="645"/>
      <c r="B18" s="826" t="s">
        <v>777</v>
      </c>
      <c r="C18" s="783">
        <v>412</v>
      </c>
      <c r="D18" s="783"/>
      <c r="E18" s="783"/>
      <c r="F18" s="783">
        <v>8000</v>
      </c>
      <c r="G18" s="783"/>
      <c r="H18" s="783"/>
      <c r="I18" s="828">
        <f t="shared" si="0"/>
        <v>8000</v>
      </c>
      <c r="J18" s="783"/>
      <c r="K18" s="783">
        <v>8279</v>
      </c>
      <c r="L18" s="783"/>
      <c r="M18" s="783"/>
      <c r="N18" s="783"/>
      <c r="O18" s="828">
        <f t="shared" si="1"/>
        <v>8279</v>
      </c>
      <c r="P18" s="829">
        <f t="shared" si="2"/>
        <v>133</v>
      </c>
      <c r="Q18" s="830"/>
      <c r="R18" s="637"/>
      <c r="S18" s="831"/>
    </row>
    <row r="19" spans="1:19">
      <c r="A19" s="645"/>
      <c r="B19" s="826" t="s">
        <v>778</v>
      </c>
      <c r="C19" s="783">
        <v>2770</v>
      </c>
      <c r="D19" s="783">
        <v>12778</v>
      </c>
      <c r="E19" s="783"/>
      <c r="F19" s="783"/>
      <c r="G19" s="783"/>
      <c r="H19" s="783"/>
      <c r="I19" s="828">
        <f t="shared" si="0"/>
        <v>12778</v>
      </c>
      <c r="J19" s="783"/>
      <c r="K19" s="783">
        <v>5605</v>
      </c>
      <c r="L19" s="783"/>
      <c r="M19" s="783"/>
      <c r="N19" s="783"/>
      <c r="O19" s="828">
        <f t="shared" si="1"/>
        <v>5605</v>
      </c>
      <c r="P19" s="829">
        <f t="shared" si="2"/>
        <v>9943</v>
      </c>
      <c r="Q19" s="830"/>
      <c r="R19" s="637"/>
      <c r="S19" s="831"/>
    </row>
    <row r="20" spans="1:19">
      <c r="A20" s="645"/>
      <c r="B20" s="826" t="s">
        <v>779</v>
      </c>
      <c r="C20" s="783"/>
      <c r="D20" s="783"/>
      <c r="E20" s="783"/>
      <c r="F20" s="783"/>
      <c r="G20" s="783"/>
      <c r="H20" s="783"/>
      <c r="I20" s="828">
        <f t="shared" si="0"/>
        <v>0</v>
      </c>
      <c r="J20" s="783"/>
      <c r="K20" s="783"/>
      <c r="L20" s="783"/>
      <c r="M20" s="783"/>
      <c r="N20" s="783"/>
      <c r="O20" s="828">
        <f t="shared" si="1"/>
        <v>0</v>
      </c>
      <c r="P20" s="829">
        <f t="shared" si="2"/>
        <v>0</v>
      </c>
      <c r="Q20" s="830"/>
      <c r="R20" s="637"/>
      <c r="S20" s="831"/>
    </row>
    <row r="21" spans="1:19">
      <c r="A21" s="645"/>
      <c r="B21" s="826" t="s">
        <v>780</v>
      </c>
      <c r="C21" s="783">
        <v>50295</v>
      </c>
      <c r="D21" s="783">
        <f>28135+8000</f>
        <v>36135</v>
      </c>
      <c r="E21" s="783">
        <v>4202</v>
      </c>
      <c r="F21" s="783">
        <v>225000</v>
      </c>
      <c r="G21" s="783">
        <f>47661-8000</f>
        <v>39661</v>
      </c>
      <c r="H21" s="783">
        <v>2071</v>
      </c>
      <c r="I21" s="828">
        <f t="shared" si="0"/>
        <v>307069</v>
      </c>
      <c r="J21" s="783">
        <v>280578</v>
      </c>
      <c r="K21" s="783"/>
      <c r="L21" s="783"/>
      <c r="M21" s="783">
        <v>46</v>
      </c>
      <c r="N21" s="783">
        <v>17322</v>
      </c>
      <c r="O21" s="828">
        <f t="shared" si="1"/>
        <v>297946</v>
      </c>
      <c r="P21" s="829">
        <f t="shared" si="2"/>
        <v>59418</v>
      </c>
      <c r="Q21" s="830"/>
      <c r="R21" s="637"/>
      <c r="S21" s="831"/>
    </row>
    <row r="22" spans="1:19">
      <c r="A22" s="645"/>
      <c r="B22" s="3306" t="s">
        <v>2406</v>
      </c>
      <c r="C22" s="783"/>
      <c r="D22" s="783">
        <v>12194</v>
      </c>
      <c r="E22" s="783"/>
      <c r="F22" s="783"/>
      <c r="G22" s="783"/>
      <c r="H22" s="783"/>
      <c r="I22" s="828">
        <f t="shared" si="0"/>
        <v>12194</v>
      </c>
      <c r="J22" s="783"/>
      <c r="K22" s="783"/>
      <c r="L22" s="783"/>
      <c r="M22" s="783"/>
      <c r="N22" s="783"/>
      <c r="O22" s="828">
        <f t="shared" si="1"/>
        <v>0</v>
      </c>
      <c r="P22" s="829">
        <f t="shared" si="2"/>
        <v>12194</v>
      </c>
      <c r="Q22" s="830"/>
      <c r="R22" s="637"/>
      <c r="S22" s="831"/>
    </row>
    <row r="23" spans="1:19">
      <c r="A23" s="645"/>
      <c r="B23" s="3306" t="s">
        <v>2261</v>
      </c>
      <c r="C23" s="781">
        <v>24398</v>
      </c>
      <c r="D23" s="783">
        <v>30788</v>
      </c>
      <c r="E23" s="783"/>
      <c r="F23" s="783"/>
      <c r="G23" s="783"/>
      <c r="H23" s="783"/>
      <c r="I23" s="828">
        <f t="shared" si="0"/>
        <v>30788</v>
      </c>
      <c r="J23" s="783"/>
      <c r="K23" s="783">
        <v>4953</v>
      </c>
      <c r="L23" s="783"/>
      <c r="M23" s="783">
        <v>40000</v>
      </c>
      <c r="N23" s="783"/>
      <c r="O23" s="828">
        <f t="shared" si="1"/>
        <v>44953</v>
      </c>
      <c r="P23" s="829">
        <f t="shared" si="2"/>
        <v>10233</v>
      </c>
      <c r="Q23" s="830"/>
      <c r="R23" s="637"/>
      <c r="S23" s="831"/>
    </row>
    <row r="24" spans="1:19">
      <c r="A24" s="645"/>
      <c r="B24" s="3306" t="s">
        <v>2262</v>
      </c>
      <c r="C24" s="787">
        <v>1523</v>
      </c>
      <c r="D24" s="788"/>
      <c r="E24" s="788"/>
      <c r="F24" s="788"/>
      <c r="G24" s="788"/>
      <c r="H24" s="788"/>
      <c r="I24" s="828">
        <f t="shared" si="0"/>
        <v>0</v>
      </c>
      <c r="J24" s="788"/>
      <c r="K24" s="788">
        <v>463</v>
      </c>
      <c r="L24" s="788"/>
      <c r="M24" s="788"/>
      <c r="N24" s="788"/>
      <c r="O24" s="828">
        <f t="shared" si="1"/>
        <v>463</v>
      </c>
      <c r="P24" s="829">
        <f t="shared" si="2"/>
        <v>1060</v>
      </c>
      <c r="Q24" s="830"/>
      <c r="R24" s="637"/>
      <c r="S24" s="831"/>
    </row>
    <row r="25" spans="1:19" ht="16.5" customHeight="1">
      <c r="A25" s="645"/>
      <c r="B25" s="789"/>
      <c r="C25" s="832"/>
      <c r="D25" s="832"/>
      <c r="E25" s="832"/>
      <c r="F25" s="832"/>
      <c r="G25" s="832"/>
      <c r="H25" s="832"/>
      <c r="I25" s="832"/>
      <c r="J25" s="832"/>
      <c r="K25" s="832"/>
      <c r="L25" s="832"/>
      <c r="M25" s="832"/>
      <c r="N25" s="832"/>
      <c r="O25" s="832"/>
      <c r="P25" s="833"/>
      <c r="Q25" s="645"/>
      <c r="R25" s="637"/>
    </row>
    <row r="26" spans="1:19" ht="13.8" thickBot="1">
      <c r="A26" s="645"/>
      <c r="B26" s="834" t="s">
        <v>782</v>
      </c>
      <c r="C26" s="791">
        <f t="shared" ref="C26:P26" si="3">SUM(C15:C24)</f>
        <v>177966</v>
      </c>
      <c r="D26" s="791">
        <f t="shared" si="3"/>
        <v>268216</v>
      </c>
      <c r="E26" s="791">
        <f t="shared" si="3"/>
        <v>4202</v>
      </c>
      <c r="F26" s="791">
        <f t="shared" si="3"/>
        <v>233046</v>
      </c>
      <c r="G26" s="791">
        <f t="shared" si="3"/>
        <v>39661</v>
      </c>
      <c r="H26" s="791">
        <f t="shared" si="3"/>
        <v>2071</v>
      </c>
      <c r="I26" s="791">
        <f t="shared" si="3"/>
        <v>547196</v>
      </c>
      <c r="J26" s="791">
        <f t="shared" si="3"/>
        <v>282120</v>
      </c>
      <c r="K26" s="791">
        <f t="shared" si="3"/>
        <v>30392</v>
      </c>
      <c r="L26" s="791">
        <f t="shared" si="3"/>
        <v>0</v>
      </c>
      <c r="M26" s="791">
        <f t="shared" si="3"/>
        <v>233046</v>
      </c>
      <c r="N26" s="791">
        <f t="shared" si="3"/>
        <v>17375</v>
      </c>
      <c r="O26" s="791">
        <f t="shared" si="3"/>
        <v>562933</v>
      </c>
      <c r="P26" s="792">
        <f t="shared" si="3"/>
        <v>162229</v>
      </c>
      <c r="Q26" s="835"/>
      <c r="R26" s="637"/>
      <c r="S26" s="836"/>
    </row>
    <row r="27" spans="1:19" ht="13.8" thickTop="1">
      <c r="A27" s="645"/>
      <c r="B27" s="3502" t="s">
        <v>2674</v>
      </c>
      <c r="C27" s="3503"/>
      <c r="D27" s="3503"/>
      <c r="E27" s="3503"/>
      <c r="F27" s="3503"/>
      <c r="G27" s="3503"/>
      <c r="H27" s="3503"/>
      <c r="I27" s="3503"/>
      <c r="J27" s="3503"/>
      <c r="K27" s="3503"/>
      <c r="L27" s="3503"/>
      <c r="M27" s="3503"/>
      <c r="N27" s="3503"/>
      <c r="O27" s="3503"/>
      <c r="P27" s="3504"/>
      <c r="Q27" s="835"/>
      <c r="R27" s="637"/>
      <c r="S27" s="836"/>
    </row>
    <row r="28" spans="1:19" ht="5.25" customHeight="1">
      <c r="A28" s="645"/>
      <c r="B28" s="795"/>
      <c r="C28" s="796"/>
      <c r="D28" s="796"/>
      <c r="E28" s="796"/>
      <c r="F28" s="796"/>
      <c r="G28" s="796"/>
      <c r="H28" s="796"/>
      <c r="I28" s="796"/>
      <c r="J28" s="796"/>
      <c r="K28" s="796"/>
      <c r="L28" s="796"/>
      <c r="M28" s="796"/>
      <c r="N28" s="796"/>
      <c r="O28" s="796"/>
      <c r="P28" s="797"/>
      <c r="Q28" s="645"/>
      <c r="R28" s="637"/>
    </row>
    <row r="29" spans="1:19" ht="13.8" thickBot="1">
      <c r="A29" s="645"/>
      <c r="B29" s="645"/>
      <c r="C29" s="653"/>
      <c r="D29" s="653"/>
      <c r="E29" s="653"/>
      <c r="F29" s="653"/>
      <c r="G29" s="653"/>
      <c r="H29" s="653"/>
      <c r="I29" s="653"/>
      <c r="J29" s="653"/>
      <c r="K29" s="653"/>
      <c r="L29" s="653"/>
      <c r="M29" s="653"/>
      <c r="N29" s="653"/>
      <c r="O29" s="653"/>
      <c r="P29" s="653"/>
      <c r="Q29" s="645"/>
      <c r="R29" s="637"/>
    </row>
    <row r="30" spans="1:19" ht="12" customHeight="1" thickTop="1">
      <c r="A30" s="671"/>
      <c r="B30" s="671"/>
      <c r="C30" s="837"/>
      <c r="D30" s="671"/>
      <c r="E30" s="671"/>
      <c r="F30" s="671"/>
      <c r="G30" s="671"/>
      <c r="H30" s="671"/>
      <c r="I30" s="671"/>
      <c r="J30" s="671"/>
      <c r="K30" s="671"/>
      <c r="L30" s="671"/>
      <c r="M30" s="671"/>
      <c r="N30" s="671"/>
      <c r="O30" s="671"/>
      <c r="P30" s="838"/>
      <c r="Q30" s="671"/>
    </row>
    <row r="31" spans="1:19">
      <c r="C31" s="839"/>
      <c r="P31" s="840"/>
    </row>
    <row r="33" spans="1:2">
      <c r="B33" s="841"/>
    </row>
    <row r="34" spans="1:2">
      <c r="A34" s="842"/>
    </row>
    <row r="196" spans="1:16" ht="17.399999999999999">
      <c r="A196" s="3501" t="str">
        <f>D1</f>
        <v>עירית הרצליה</v>
      </c>
      <c r="B196" s="3501"/>
      <c r="C196" s="3501"/>
      <c r="D196" s="3501"/>
      <c r="E196" s="3501"/>
      <c r="F196" s="3501"/>
      <c r="G196" s="3501"/>
      <c r="H196" s="3501"/>
      <c r="I196" s="3501"/>
      <c r="J196" s="3501"/>
      <c r="K196" s="3501"/>
      <c r="L196" s="3501"/>
      <c r="M196" s="3501"/>
      <c r="N196" s="3501"/>
      <c r="O196" s="3501"/>
      <c r="P196" s="3501"/>
    </row>
    <row r="197" spans="1:16" ht="17.399999999999999">
      <c r="A197" s="3501" t="str">
        <f>D2</f>
        <v>קרן לעבודות פיתוח</v>
      </c>
      <c r="B197" s="3501"/>
      <c r="C197" s="3501"/>
      <c r="D197" s="3501"/>
      <c r="E197" s="3501"/>
      <c r="F197" s="3501"/>
      <c r="G197" s="3501"/>
      <c r="H197" s="3501"/>
      <c r="I197" s="3501"/>
      <c r="J197" s="3501"/>
      <c r="K197" s="3501"/>
      <c r="L197" s="3501"/>
      <c r="M197" s="3501"/>
      <c r="N197" s="3501"/>
      <c r="O197" s="3501"/>
      <c r="P197" s="3501"/>
    </row>
    <row r="198" spans="1:16" ht="17.399999999999999">
      <c r="A198" s="3501" t="str">
        <f>D3</f>
        <v>(אלפי ש"ח)</v>
      </c>
      <c r="B198" s="3501"/>
      <c r="C198" s="3501"/>
      <c r="D198" s="3501"/>
      <c r="E198" s="3501"/>
      <c r="F198" s="3501"/>
      <c r="G198" s="3501"/>
      <c r="H198" s="3501"/>
      <c r="I198" s="3501"/>
      <c r="J198" s="3501"/>
      <c r="K198" s="3501"/>
      <c r="L198" s="3501"/>
      <c r="M198" s="3501"/>
      <c r="N198" s="3501"/>
      <c r="O198" s="3501"/>
      <c r="P198" s="3501"/>
    </row>
    <row r="201" spans="1:16">
      <c r="B201" s="842" t="str">
        <f>C4</f>
        <v>ביאור 5 - קרן לעבודות פיתוח</v>
      </c>
      <c r="C201" s="3118"/>
      <c r="D201" s="3118"/>
      <c r="E201" s="3118"/>
      <c r="F201" s="3118"/>
      <c r="G201" s="3118"/>
      <c r="H201" s="3118"/>
      <c r="I201" s="3118"/>
      <c r="J201" s="3118"/>
      <c r="K201" s="3118"/>
      <c r="L201" s="3118"/>
      <c r="M201" s="3118"/>
      <c r="N201" s="3118"/>
      <c r="O201" s="3118"/>
      <c r="P201" s="3118"/>
    </row>
    <row r="202" spans="1:16" ht="27" customHeight="1">
      <c r="A202" s="297" t="str">
        <f t="shared" ref="A202:B207" si="4">A5</f>
        <v>א.</v>
      </c>
      <c r="B202" s="3509" t="str">
        <f t="shared" si="4"/>
        <v>בקרן לעבודות פיתוח, נרשמים תקבולי העירייה מהטלי ביוב והשבחה, מהשתתפות בעלים בעבודות פיתוח, מאגרת הנחת צינורות וממקורות אחרים, המיועדים למימון עבודות פיתוח,כל עוד לא נקבעה מסגרת תקציבית ספציפית אליה ניתן לזקוף תקבולים אלה.</v>
      </c>
      <c r="C202" s="3463"/>
      <c r="D202" s="3463"/>
      <c r="E202" s="3463"/>
      <c r="F202" s="3463"/>
      <c r="G202" s="3463"/>
      <c r="H202" s="3463"/>
      <c r="I202" s="3463"/>
      <c r="J202" s="3463"/>
      <c r="K202" s="3463"/>
      <c r="L202" s="3463"/>
      <c r="M202" s="3117"/>
      <c r="N202" s="3117"/>
      <c r="O202" s="3117"/>
      <c r="P202" s="3117"/>
    </row>
    <row r="203" spans="1:16">
      <c r="A203" s="297" t="str">
        <f t="shared" si="4"/>
        <v>ב.</v>
      </c>
      <c r="B203" s="297" t="str">
        <f t="shared" si="4"/>
        <v>כספי הקרן עד לשימוש בהם מנוהלים ביחד עם חשבונות הבנקים השוטפים של העירייה ולא בחשבונות בנקים ספציפיים, (ראה ביאור 3 (א) לעיל).</v>
      </c>
      <c r="C203" s="3117"/>
      <c r="D203" s="3117"/>
      <c r="E203" s="3117"/>
      <c r="F203" s="3117"/>
      <c r="G203" s="3117"/>
      <c r="H203" s="3117"/>
      <c r="I203" s="3117"/>
      <c r="J203" s="3117"/>
      <c r="K203" s="3117"/>
      <c r="L203" s="3117"/>
      <c r="M203" s="3117"/>
      <c r="N203" s="3117"/>
      <c r="O203" s="3117"/>
      <c r="P203" s="3117"/>
    </row>
    <row r="204" spans="1:16">
      <c r="A204" s="297" t="str">
        <f t="shared" si="4"/>
        <v>ג.</v>
      </c>
      <c r="B204" s="297" t="str">
        <f t="shared" si="4"/>
        <v xml:space="preserve"> העירייה נוהגת לזקוף את התשואה המתקבלת בגין ההשקעות של הקרנות לקרנות הפיתוח .</v>
      </c>
      <c r="C204" s="3117"/>
      <c r="D204" s="3117"/>
      <c r="E204" s="3117"/>
      <c r="F204" s="3117"/>
      <c r="G204" s="3117"/>
      <c r="H204" s="3117"/>
      <c r="I204" s="3117"/>
      <c r="J204" s="3117"/>
      <c r="K204" s="3117"/>
      <c r="L204" s="3117"/>
      <c r="M204" s="3117"/>
      <c r="N204" s="3117"/>
      <c r="O204" s="3117"/>
      <c r="P204" s="3117"/>
    </row>
    <row r="205" spans="1:16">
      <c r="A205" s="297" t="str">
        <f t="shared" si="4"/>
        <v>ד.</v>
      </c>
      <c r="B205" s="297" t="str">
        <f t="shared" si="4"/>
        <v>כספי הקרנות מיועדים למימון תקציבים בלתי רגילים, בהתאם לאישורים של מועצת הרשות ומשרד הפנים.</v>
      </c>
      <c r="C205" s="3117"/>
      <c r="D205" s="3117"/>
      <c r="E205" s="3117"/>
      <c r="F205" s="3117"/>
      <c r="G205" s="3117"/>
      <c r="H205" s="3117"/>
      <c r="I205" s="3117"/>
      <c r="J205" s="3117"/>
      <c r="K205" s="3117"/>
      <c r="L205" s="3117"/>
      <c r="M205" s="3117"/>
      <c r="N205" s="3117"/>
      <c r="O205" s="3117"/>
      <c r="P205" s="3117"/>
    </row>
    <row r="206" spans="1:16">
      <c r="A206" s="297">
        <f t="shared" si="4"/>
        <v>0</v>
      </c>
      <c r="B206" s="297">
        <f t="shared" si="4"/>
        <v>0</v>
      </c>
      <c r="C206" s="3117"/>
      <c r="D206" s="3117"/>
      <c r="E206" s="3117"/>
      <c r="F206" s="748"/>
      <c r="G206" s="297">
        <f t="shared" ref="G206:P206" si="5">G9</f>
        <v>0</v>
      </c>
      <c r="H206" s="350">
        <f t="shared" si="5"/>
        <v>0</v>
      </c>
      <c r="I206" s="297">
        <f t="shared" si="5"/>
        <v>0</v>
      </c>
      <c r="J206" s="297">
        <f t="shared" si="5"/>
        <v>0</v>
      </c>
      <c r="M206" s="297">
        <f t="shared" si="5"/>
        <v>0</v>
      </c>
      <c r="N206" s="297">
        <f t="shared" si="5"/>
        <v>0</v>
      </c>
      <c r="O206" s="297">
        <f t="shared" si="5"/>
        <v>0</v>
      </c>
      <c r="P206" s="297">
        <f t="shared" si="5"/>
        <v>0</v>
      </c>
    </row>
    <row r="207" spans="1:16">
      <c r="A207" s="297" t="str">
        <f t="shared" si="4"/>
        <v>ה.</v>
      </c>
      <c r="B207" s="3495" t="str">
        <f t="shared" si="4"/>
        <v>להלן תנועת הקרנות בשנת הדוח (באלפי ש''ח):</v>
      </c>
      <c r="C207" s="3508"/>
      <c r="D207" s="3508"/>
      <c r="E207" s="297">
        <f>E10</f>
        <v>0</v>
      </c>
      <c r="F207" s="350">
        <f t="shared" ref="F207:P207" si="6">F10</f>
        <v>0</v>
      </c>
      <c r="G207" s="297">
        <f t="shared" si="6"/>
        <v>0</v>
      </c>
      <c r="H207" s="297">
        <f t="shared" si="6"/>
        <v>0</v>
      </c>
      <c r="I207" s="297">
        <f t="shared" si="6"/>
        <v>0</v>
      </c>
      <c r="J207" s="297">
        <f t="shared" si="6"/>
        <v>0</v>
      </c>
      <c r="M207" s="350">
        <f t="shared" si="6"/>
        <v>0</v>
      </c>
      <c r="N207" s="297">
        <f t="shared" si="6"/>
        <v>0</v>
      </c>
      <c r="O207" s="350">
        <f t="shared" si="6"/>
        <v>0</v>
      </c>
      <c r="P207" s="297">
        <f t="shared" si="6"/>
        <v>0</v>
      </c>
    </row>
    <row r="208" spans="1:16" ht="2.25" customHeight="1">
      <c r="B208" s="350"/>
      <c r="C208" s="350"/>
    </row>
    <row r="209" spans="1:16" ht="46.8">
      <c r="A209" s="297">
        <f t="shared" ref="A209:E210" si="7">A12</f>
        <v>0</v>
      </c>
      <c r="B209" s="843">
        <f t="shared" si="7"/>
        <v>0</v>
      </c>
      <c r="C209" s="843" t="str">
        <f t="shared" si="7"/>
        <v>יתרה לתחילת שנה</v>
      </c>
      <c r="D209" s="843" t="str">
        <f t="shared" si="7"/>
        <v>תקבולים בשנת הדוח</v>
      </c>
      <c r="E209" s="843" t="str">
        <f t="shared" si="7"/>
        <v>העברה מתב"רים</v>
      </c>
      <c r="F209" s="843" t="str">
        <f t="shared" ref="F209:P209" si="8">F12</f>
        <v>העברות מקרנות ואחרות</v>
      </c>
      <c r="G209" s="843" t="str">
        <f t="shared" si="8"/>
        <v>העברה מתקציב רגיל</v>
      </c>
      <c r="H209" s="843" t="str">
        <f t="shared" si="8"/>
        <v>הכנסות מהשקעות</v>
      </c>
      <c r="I209" s="843" t="str">
        <f t="shared" si="8"/>
        <v>סה"כ תקבולים</v>
      </c>
      <c r="J209" s="843" t="str">
        <f t="shared" si="8"/>
        <v>העברות לתב"רים</v>
      </c>
      <c r="K209" s="843" t="str">
        <f t="shared" si="8"/>
        <v>העברה לתקציב הרגיל</v>
      </c>
      <c r="L209" s="843" t="str">
        <f t="shared" si="8"/>
        <v>העברה לגרעון מצטבר</v>
      </c>
      <c r="M209" s="843" t="str">
        <f t="shared" si="8"/>
        <v>העברות לקרנות אחרות</v>
      </c>
      <c r="N209" s="843" t="str">
        <f t="shared" si="8"/>
        <v>תשלומים אחרים והוצאות</v>
      </c>
      <c r="O209" s="843" t="str">
        <f t="shared" si="8"/>
        <v>סה"כ תשלומים</v>
      </c>
      <c r="P209" s="843" t="str">
        <f t="shared" si="8"/>
        <v>יתרה לסוף השנה</v>
      </c>
    </row>
    <row r="210" spans="1:16" ht="15.6">
      <c r="A210" s="297">
        <f t="shared" si="7"/>
        <v>0</v>
      </c>
      <c r="B210" s="844" t="str">
        <f t="shared" si="7"/>
        <v>שם הקרן</v>
      </c>
      <c r="C210" s="845">
        <f t="shared" si="7"/>
        <v>0</v>
      </c>
      <c r="D210" s="846">
        <f t="shared" si="7"/>
        <v>0</v>
      </c>
      <c r="E210" s="845">
        <f t="shared" si="7"/>
        <v>0</v>
      </c>
      <c r="F210" s="846">
        <f t="shared" ref="F210:P210" si="9">F13</f>
        <v>0</v>
      </c>
      <c r="G210" s="845">
        <f t="shared" si="9"/>
        <v>0</v>
      </c>
      <c r="H210" s="845">
        <f t="shared" si="9"/>
        <v>0</v>
      </c>
      <c r="I210" s="845">
        <f t="shared" si="9"/>
        <v>0</v>
      </c>
      <c r="J210" s="845">
        <f t="shared" si="9"/>
        <v>0</v>
      </c>
      <c r="K210" s="845"/>
      <c r="L210" s="845"/>
      <c r="M210" s="846">
        <f t="shared" si="9"/>
        <v>0</v>
      </c>
      <c r="N210" s="845">
        <f t="shared" si="9"/>
        <v>0</v>
      </c>
      <c r="O210" s="846">
        <f t="shared" si="9"/>
        <v>0</v>
      </c>
      <c r="P210" s="847">
        <f t="shared" si="9"/>
        <v>0</v>
      </c>
    </row>
    <row r="211" spans="1:16" ht="16.2" thickBot="1">
      <c r="A211" s="297">
        <f t="shared" ref="A211:A219" si="10">A14</f>
        <v>0</v>
      </c>
      <c r="B211" s="848" t="str">
        <f t="shared" ref="B211:B219" si="11">IF(AND($C14=0,$D14=0,$E14=0,$F14=0,$G14=0,$H14=0,$I14=0,$J14=0,$M14=0,$N14=0,$O14=0,$P14=0),"",$B14)</f>
        <v>סה"כ שנה קודמת</v>
      </c>
      <c r="C211" s="849">
        <f t="shared" ref="C211:E223" si="12">C14</f>
        <v>128193</v>
      </c>
      <c r="D211" s="849">
        <f t="shared" si="12"/>
        <v>267051</v>
      </c>
      <c r="E211" s="849">
        <f t="shared" si="12"/>
        <v>5987</v>
      </c>
      <c r="F211" s="849">
        <f t="shared" ref="F211:P211" si="13">F14</f>
        <v>162900</v>
      </c>
      <c r="G211" s="849">
        <f t="shared" si="13"/>
        <v>35000</v>
      </c>
      <c r="H211" s="849">
        <f t="shared" si="13"/>
        <v>9512</v>
      </c>
      <c r="I211" s="2790">
        <f t="shared" si="13"/>
        <v>480450</v>
      </c>
      <c r="J211" s="849">
        <f t="shared" si="13"/>
        <v>229573</v>
      </c>
      <c r="K211" s="849">
        <f t="shared" ref="K211:L223" si="14">K14</f>
        <v>38163</v>
      </c>
      <c r="L211" s="849">
        <f t="shared" si="14"/>
        <v>0</v>
      </c>
      <c r="M211" s="849">
        <f t="shared" si="13"/>
        <v>162900</v>
      </c>
      <c r="N211" s="849">
        <f t="shared" si="13"/>
        <v>41</v>
      </c>
      <c r="O211" s="2790">
        <f t="shared" si="13"/>
        <v>430677</v>
      </c>
      <c r="P211" s="2790">
        <f t="shared" si="13"/>
        <v>177966</v>
      </c>
    </row>
    <row r="212" spans="1:16" ht="16.2" thickTop="1">
      <c r="A212" s="297">
        <f t="shared" si="10"/>
        <v>0</v>
      </c>
      <c r="B212" s="2157" t="str">
        <f t="shared" si="11"/>
        <v>קרן הטל השבחה</v>
      </c>
      <c r="C212" s="850">
        <f t="shared" si="12"/>
        <v>94050</v>
      </c>
      <c r="D212" s="850">
        <f t="shared" si="12"/>
        <v>176321</v>
      </c>
      <c r="E212" s="850">
        <f t="shared" si="12"/>
        <v>0</v>
      </c>
      <c r="F212" s="850">
        <f t="shared" ref="F212:P212" si="15">F15</f>
        <v>46</v>
      </c>
      <c r="G212" s="850">
        <f t="shared" si="15"/>
        <v>0</v>
      </c>
      <c r="H212" s="850">
        <f t="shared" si="15"/>
        <v>0</v>
      </c>
      <c r="I212" s="2791">
        <f t="shared" si="15"/>
        <v>176367</v>
      </c>
      <c r="J212" s="850">
        <f t="shared" si="15"/>
        <v>0</v>
      </c>
      <c r="K212" s="850">
        <f t="shared" si="14"/>
        <v>11092</v>
      </c>
      <c r="L212" s="850">
        <f t="shared" si="14"/>
        <v>0</v>
      </c>
      <c r="M212" s="850">
        <f t="shared" si="15"/>
        <v>193000</v>
      </c>
      <c r="N212" s="850">
        <f t="shared" si="15"/>
        <v>0</v>
      </c>
      <c r="O212" s="2791">
        <f t="shared" si="15"/>
        <v>204092</v>
      </c>
      <c r="P212" s="2791">
        <f t="shared" si="15"/>
        <v>66325</v>
      </c>
    </row>
    <row r="213" spans="1:16" ht="15.6">
      <c r="A213" s="297">
        <f t="shared" si="10"/>
        <v>0</v>
      </c>
      <c r="B213" s="2157" t="str">
        <f t="shared" si="11"/>
        <v/>
      </c>
      <c r="C213" s="851">
        <f t="shared" si="12"/>
        <v>0</v>
      </c>
      <c r="D213" s="851">
        <f t="shared" si="12"/>
        <v>0</v>
      </c>
      <c r="E213" s="851">
        <f t="shared" si="12"/>
        <v>0</v>
      </c>
      <c r="F213" s="851">
        <f t="shared" ref="F213:P213" si="16">F16</f>
        <v>0</v>
      </c>
      <c r="G213" s="851">
        <f t="shared" si="16"/>
        <v>0</v>
      </c>
      <c r="H213" s="851">
        <f t="shared" si="16"/>
        <v>0</v>
      </c>
      <c r="I213" s="2792">
        <f t="shared" si="16"/>
        <v>0</v>
      </c>
      <c r="J213" s="851">
        <f t="shared" si="16"/>
        <v>0</v>
      </c>
      <c r="K213" s="851">
        <f t="shared" si="14"/>
        <v>0</v>
      </c>
      <c r="L213" s="851">
        <f t="shared" si="14"/>
        <v>0</v>
      </c>
      <c r="M213" s="851">
        <f t="shared" si="16"/>
        <v>0</v>
      </c>
      <c r="N213" s="851">
        <f t="shared" si="16"/>
        <v>0</v>
      </c>
      <c r="O213" s="2792">
        <f t="shared" si="16"/>
        <v>0</v>
      </c>
      <c r="P213" s="2792">
        <f t="shared" si="16"/>
        <v>0</v>
      </c>
    </row>
    <row r="214" spans="1:16" ht="15.6">
      <c r="A214" s="297">
        <f t="shared" si="10"/>
        <v>0</v>
      </c>
      <c r="B214" s="2157" t="str">
        <f t="shared" si="11"/>
        <v>קרן ממכירת מקרקעין</v>
      </c>
      <c r="C214" s="851">
        <f t="shared" si="12"/>
        <v>4518</v>
      </c>
      <c r="D214" s="851">
        <f t="shared" si="12"/>
        <v>0</v>
      </c>
      <c r="E214" s="851">
        <f t="shared" si="12"/>
        <v>0</v>
      </c>
      <c r="F214" s="851">
        <f t="shared" ref="F214:P214" si="17">F17</f>
        <v>0</v>
      </c>
      <c r="G214" s="851">
        <f t="shared" si="17"/>
        <v>0</v>
      </c>
      <c r="H214" s="851">
        <f t="shared" si="17"/>
        <v>0</v>
      </c>
      <c r="I214" s="2792">
        <f t="shared" si="17"/>
        <v>0</v>
      </c>
      <c r="J214" s="851">
        <f t="shared" si="17"/>
        <v>1542</v>
      </c>
      <c r="K214" s="851">
        <f t="shared" si="14"/>
        <v>0</v>
      </c>
      <c r="L214" s="851">
        <f t="shared" si="14"/>
        <v>0</v>
      </c>
      <c r="M214" s="851">
        <f t="shared" si="17"/>
        <v>0</v>
      </c>
      <c r="N214" s="851">
        <f t="shared" si="17"/>
        <v>53</v>
      </c>
      <c r="O214" s="2792">
        <f t="shared" si="17"/>
        <v>1595</v>
      </c>
      <c r="P214" s="2792">
        <f t="shared" si="17"/>
        <v>2923</v>
      </c>
    </row>
    <row r="215" spans="1:16" ht="15.6">
      <c r="A215" s="297">
        <f t="shared" si="10"/>
        <v>0</v>
      </c>
      <c r="B215" s="2157" t="str">
        <f t="shared" si="11"/>
        <v>קרן ביוב</v>
      </c>
      <c r="C215" s="852">
        <f t="shared" si="12"/>
        <v>412</v>
      </c>
      <c r="D215" s="852">
        <f t="shared" si="12"/>
        <v>0</v>
      </c>
      <c r="E215" s="852">
        <f t="shared" si="12"/>
        <v>0</v>
      </c>
      <c r="F215" s="852">
        <f t="shared" ref="F215:P215" si="18">F18</f>
        <v>8000</v>
      </c>
      <c r="G215" s="852">
        <f t="shared" si="18"/>
        <v>0</v>
      </c>
      <c r="H215" s="852">
        <f t="shared" si="18"/>
        <v>0</v>
      </c>
      <c r="I215" s="2792">
        <f t="shared" si="18"/>
        <v>8000</v>
      </c>
      <c r="J215" s="852">
        <f t="shared" si="18"/>
        <v>0</v>
      </c>
      <c r="K215" s="852">
        <f t="shared" si="14"/>
        <v>8279</v>
      </c>
      <c r="L215" s="852">
        <f t="shared" si="14"/>
        <v>0</v>
      </c>
      <c r="M215" s="852">
        <f t="shared" si="18"/>
        <v>0</v>
      </c>
      <c r="N215" s="852">
        <f t="shared" si="18"/>
        <v>0</v>
      </c>
      <c r="O215" s="2792">
        <f t="shared" si="18"/>
        <v>8279</v>
      </c>
      <c r="P215" s="2792">
        <f t="shared" si="18"/>
        <v>133</v>
      </c>
    </row>
    <row r="216" spans="1:16" ht="15.6">
      <c r="A216" s="297">
        <f t="shared" si="10"/>
        <v>0</v>
      </c>
      <c r="B216" s="2157" t="str">
        <f t="shared" si="11"/>
        <v>קרן ניקוז</v>
      </c>
      <c r="C216" s="852">
        <f t="shared" si="12"/>
        <v>2770</v>
      </c>
      <c r="D216" s="852">
        <f t="shared" si="12"/>
        <v>12778</v>
      </c>
      <c r="E216" s="852">
        <f t="shared" si="12"/>
        <v>0</v>
      </c>
      <c r="F216" s="852">
        <f t="shared" ref="F216:P216" si="19">F19</f>
        <v>0</v>
      </c>
      <c r="G216" s="852">
        <f t="shared" si="19"/>
        <v>0</v>
      </c>
      <c r="H216" s="852">
        <f t="shared" si="19"/>
        <v>0</v>
      </c>
      <c r="I216" s="2792">
        <f t="shared" si="19"/>
        <v>12778</v>
      </c>
      <c r="J216" s="852">
        <f t="shared" si="19"/>
        <v>0</v>
      </c>
      <c r="K216" s="852">
        <f t="shared" si="14"/>
        <v>5605</v>
      </c>
      <c r="L216" s="852">
        <f t="shared" si="14"/>
        <v>0</v>
      </c>
      <c r="M216" s="852">
        <f t="shared" si="19"/>
        <v>0</v>
      </c>
      <c r="N216" s="852">
        <f t="shared" si="19"/>
        <v>0</v>
      </c>
      <c r="O216" s="2792">
        <f t="shared" si="19"/>
        <v>5605</v>
      </c>
      <c r="P216" s="2792">
        <f t="shared" si="19"/>
        <v>9943</v>
      </c>
    </row>
    <row r="217" spans="1:16" ht="15.6">
      <c r="A217" s="297">
        <f t="shared" si="10"/>
        <v>0</v>
      </c>
      <c r="B217" s="2157" t="str">
        <f t="shared" si="11"/>
        <v/>
      </c>
      <c r="C217" s="852">
        <f t="shared" si="12"/>
        <v>0</v>
      </c>
      <c r="D217" s="852">
        <f t="shared" si="12"/>
        <v>0</v>
      </c>
      <c r="E217" s="852">
        <f t="shared" si="12"/>
        <v>0</v>
      </c>
      <c r="F217" s="852">
        <f t="shared" ref="F217:P217" si="20">F20</f>
        <v>0</v>
      </c>
      <c r="G217" s="852">
        <f t="shared" si="20"/>
        <v>0</v>
      </c>
      <c r="H217" s="852">
        <f t="shared" si="20"/>
        <v>0</v>
      </c>
      <c r="I217" s="2792">
        <f t="shared" si="20"/>
        <v>0</v>
      </c>
      <c r="J217" s="852">
        <f t="shared" si="20"/>
        <v>0</v>
      </c>
      <c r="K217" s="852">
        <f t="shared" si="14"/>
        <v>0</v>
      </c>
      <c r="L217" s="852">
        <f t="shared" si="14"/>
        <v>0</v>
      </c>
      <c r="M217" s="852">
        <f t="shared" si="20"/>
        <v>0</v>
      </c>
      <c r="N217" s="852">
        <f t="shared" si="20"/>
        <v>0</v>
      </c>
      <c r="O217" s="2792">
        <f t="shared" si="20"/>
        <v>0</v>
      </c>
      <c r="P217" s="2792">
        <f t="shared" si="20"/>
        <v>0</v>
      </c>
    </row>
    <row r="218" spans="1:16" ht="15.6">
      <c r="A218" s="297">
        <f t="shared" si="10"/>
        <v>0</v>
      </c>
      <c r="B218" s="2157" t="str">
        <f t="shared" si="11"/>
        <v>קרנות פיתוח</v>
      </c>
      <c r="C218" s="852">
        <f t="shared" si="12"/>
        <v>50295</v>
      </c>
      <c r="D218" s="852">
        <f t="shared" si="12"/>
        <v>36135</v>
      </c>
      <c r="E218" s="852">
        <f t="shared" si="12"/>
        <v>4202</v>
      </c>
      <c r="F218" s="852">
        <f t="shared" ref="F218:P218" si="21">F21</f>
        <v>225000</v>
      </c>
      <c r="G218" s="852">
        <f t="shared" si="21"/>
        <v>39661</v>
      </c>
      <c r="H218" s="852">
        <f t="shared" si="21"/>
        <v>2071</v>
      </c>
      <c r="I218" s="2792">
        <f t="shared" si="21"/>
        <v>307069</v>
      </c>
      <c r="J218" s="852">
        <f t="shared" si="21"/>
        <v>280578</v>
      </c>
      <c r="K218" s="852">
        <f t="shared" si="14"/>
        <v>0</v>
      </c>
      <c r="L218" s="852">
        <f t="shared" si="14"/>
        <v>0</v>
      </c>
      <c r="M218" s="852">
        <f t="shared" si="21"/>
        <v>46</v>
      </c>
      <c r="N218" s="852">
        <f t="shared" si="21"/>
        <v>17322</v>
      </c>
      <c r="O218" s="2792">
        <f t="shared" si="21"/>
        <v>297946</v>
      </c>
      <c r="P218" s="2792">
        <f t="shared" si="21"/>
        <v>59418</v>
      </c>
    </row>
    <row r="219" spans="1:16" ht="15.6">
      <c r="A219" s="297">
        <f t="shared" si="10"/>
        <v>0</v>
      </c>
      <c r="B219" s="2157" t="str">
        <f t="shared" si="11"/>
        <v>קרן תאגוד מים וביוב</v>
      </c>
      <c r="C219" s="853">
        <f t="shared" si="12"/>
        <v>0</v>
      </c>
      <c r="D219" s="853">
        <f t="shared" si="12"/>
        <v>12194</v>
      </c>
      <c r="E219" s="853">
        <f t="shared" si="12"/>
        <v>0</v>
      </c>
      <c r="F219" s="853">
        <f t="shared" ref="F219:P219" si="22">F22</f>
        <v>0</v>
      </c>
      <c r="G219" s="853">
        <f t="shared" si="22"/>
        <v>0</v>
      </c>
      <c r="H219" s="853">
        <f t="shared" si="22"/>
        <v>0</v>
      </c>
      <c r="I219" s="2793">
        <f t="shared" si="22"/>
        <v>12194</v>
      </c>
      <c r="J219" s="853">
        <f t="shared" si="22"/>
        <v>0</v>
      </c>
      <c r="K219" s="853">
        <f t="shared" si="14"/>
        <v>0</v>
      </c>
      <c r="L219" s="853">
        <f t="shared" si="14"/>
        <v>0</v>
      </c>
      <c r="M219" s="853">
        <f t="shared" si="22"/>
        <v>0</v>
      </c>
      <c r="N219" s="853">
        <f t="shared" si="22"/>
        <v>0</v>
      </c>
      <c r="O219" s="2793">
        <f t="shared" si="22"/>
        <v>0</v>
      </c>
      <c r="P219" s="2793">
        <f t="shared" si="22"/>
        <v>12194</v>
      </c>
    </row>
    <row r="220" spans="1:16" ht="15.6">
      <c r="B220" s="2157" t="str">
        <f>IF(OR($B23="(***)",AND($C23=0,$D23=0,$E23=0,$F23=0,$G23=0,$H23=0,$I23=0,$J23=0,$M23=0,$N23=0,$O23=0,$P23=0)),"",$B23)</f>
        <v>קרן סלילה</v>
      </c>
      <c r="C220" s="852">
        <f t="shared" si="12"/>
        <v>24398</v>
      </c>
      <c r="D220" s="852">
        <f t="shared" si="12"/>
        <v>30788</v>
      </c>
      <c r="E220" s="852">
        <f t="shared" si="12"/>
        <v>0</v>
      </c>
      <c r="F220" s="852">
        <f t="shared" ref="F220:J221" si="23">F23</f>
        <v>0</v>
      </c>
      <c r="G220" s="852">
        <f t="shared" si="23"/>
        <v>0</v>
      </c>
      <c r="H220" s="852">
        <f t="shared" si="23"/>
        <v>0</v>
      </c>
      <c r="I220" s="2792">
        <f t="shared" si="23"/>
        <v>30788</v>
      </c>
      <c r="J220" s="852">
        <f t="shared" si="23"/>
        <v>0</v>
      </c>
      <c r="K220" s="852">
        <f t="shared" si="14"/>
        <v>4953</v>
      </c>
      <c r="L220" s="852">
        <f t="shared" si="14"/>
        <v>0</v>
      </c>
      <c r="M220" s="852">
        <f t="shared" ref="M220:P221" si="24">M23</f>
        <v>40000</v>
      </c>
      <c r="N220" s="852">
        <f t="shared" si="24"/>
        <v>0</v>
      </c>
      <c r="O220" s="2792">
        <f t="shared" si="24"/>
        <v>44953</v>
      </c>
      <c r="P220" s="2792">
        <f t="shared" si="24"/>
        <v>10233</v>
      </c>
    </row>
    <row r="221" spans="1:16" ht="15.6">
      <c r="B221" s="2157" t="str">
        <f>IF(OR($B24="(***)",AND($C24=0,$D24=0,$E24=0,$F24=0,$G24=0,$H24=0,$I24=0,$J24=0,$M24=0,$N24=0,$O24=0,$P24=0)),"",$B24)</f>
        <v>קרן פיתוח רשות המים</v>
      </c>
      <c r="C221" s="853">
        <f t="shared" si="12"/>
        <v>1523</v>
      </c>
      <c r="D221" s="853">
        <f t="shared" si="12"/>
        <v>0</v>
      </c>
      <c r="E221" s="853">
        <f t="shared" si="12"/>
        <v>0</v>
      </c>
      <c r="F221" s="853">
        <f t="shared" si="23"/>
        <v>0</v>
      </c>
      <c r="G221" s="853">
        <f t="shared" si="23"/>
        <v>0</v>
      </c>
      <c r="H221" s="853">
        <f t="shared" si="23"/>
        <v>0</v>
      </c>
      <c r="I221" s="2793">
        <f t="shared" si="23"/>
        <v>0</v>
      </c>
      <c r="J221" s="853">
        <f t="shared" si="23"/>
        <v>0</v>
      </c>
      <c r="K221" s="853">
        <f t="shared" si="14"/>
        <v>463</v>
      </c>
      <c r="L221" s="853">
        <f t="shared" si="14"/>
        <v>0</v>
      </c>
      <c r="M221" s="853">
        <f t="shared" si="24"/>
        <v>0</v>
      </c>
      <c r="N221" s="853">
        <f t="shared" si="24"/>
        <v>0</v>
      </c>
      <c r="O221" s="2793">
        <f t="shared" si="24"/>
        <v>463</v>
      </c>
      <c r="P221" s="2793">
        <f t="shared" si="24"/>
        <v>1060</v>
      </c>
    </row>
    <row r="222" spans="1:16" ht="15">
      <c r="A222" s="297">
        <f>A25</f>
        <v>0</v>
      </c>
      <c r="B222" s="848">
        <f>B25</f>
        <v>0</v>
      </c>
      <c r="C222" s="854">
        <f t="shared" si="12"/>
        <v>0</v>
      </c>
      <c r="D222" s="854">
        <f t="shared" si="12"/>
        <v>0</v>
      </c>
      <c r="E222" s="854">
        <f t="shared" si="12"/>
        <v>0</v>
      </c>
      <c r="F222" s="854">
        <f t="shared" ref="F222:P222" si="25">F25</f>
        <v>0</v>
      </c>
      <c r="G222" s="854">
        <f t="shared" si="25"/>
        <v>0</v>
      </c>
      <c r="H222" s="854">
        <f t="shared" si="25"/>
        <v>0</v>
      </c>
      <c r="I222" s="854">
        <f t="shared" si="25"/>
        <v>0</v>
      </c>
      <c r="J222" s="854">
        <f t="shared" si="25"/>
        <v>0</v>
      </c>
      <c r="K222" s="854">
        <f t="shared" si="14"/>
        <v>0</v>
      </c>
      <c r="L222" s="854">
        <f t="shared" si="14"/>
        <v>0</v>
      </c>
      <c r="M222" s="854">
        <f t="shared" si="25"/>
        <v>0</v>
      </c>
      <c r="N222" s="854">
        <f t="shared" si="25"/>
        <v>0</v>
      </c>
      <c r="O222" s="854">
        <f t="shared" si="25"/>
        <v>0</v>
      </c>
      <c r="P222" s="855">
        <f t="shared" si="25"/>
        <v>0</v>
      </c>
    </row>
    <row r="223" spans="1:16" ht="16.2" thickBot="1">
      <c r="A223" s="297">
        <f>A26</f>
        <v>0</v>
      </c>
      <c r="B223" s="2157" t="str">
        <f>IF(AND($C26=0,$D26=0,$E26=0,$F26=0,$G26=0,$H26=0,$I26=0,$J26=0,$M26=0,$N26=0,$O26=0,$P26=0),"",$B26)</f>
        <v>סה"כ</v>
      </c>
      <c r="C223" s="856">
        <f t="shared" si="12"/>
        <v>177966</v>
      </c>
      <c r="D223" s="856">
        <f t="shared" si="12"/>
        <v>268216</v>
      </c>
      <c r="E223" s="856">
        <f t="shared" si="12"/>
        <v>4202</v>
      </c>
      <c r="F223" s="856">
        <f t="shared" ref="F223:P223" si="26">F26</f>
        <v>233046</v>
      </c>
      <c r="G223" s="856">
        <f t="shared" si="26"/>
        <v>39661</v>
      </c>
      <c r="H223" s="856">
        <f t="shared" si="26"/>
        <v>2071</v>
      </c>
      <c r="I223" s="856">
        <f t="shared" si="26"/>
        <v>547196</v>
      </c>
      <c r="J223" s="856">
        <f t="shared" si="26"/>
        <v>282120</v>
      </c>
      <c r="K223" s="856">
        <f t="shared" si="14"/>
        <v>30392</v>
      </c>
      <c r="L223" s="856">
        <f t="shared" si="14"/>
        <v>0</v>
      </c>
      <c r="M223" s="856">
        <f t="shared" si="26"/>
        <v>233046</v>
      </c>
      <c r="N223" s="856">
        <f t="shared" si="26"/>
        <v>17375</v>
      </c>
      <c r="O223" s="856">
        <f t="shared" si="26"/>
        <v>562933</v>
      </c>
      <c r="P223" s="856">
        <f t="shared" si="26"/>
        <v>162229</v>
      </c>
    </row>
    <row r="224" spans="1:16" ht="15.6" thickTop="1">
      <c r="A224" s="297">
        <f>A28</f>
        <v>0</v>
      </c>
      <c r="B224" s="3498" t="str">
        <f>IF(B27&lt;&gt; "(***)",B27,0)</f>
        <v>(*) העברה מתקציב רגיל כולל 14.661 מיליון ₪ העברה מיתרת העודף המצטבר לתחילת שנה, 25 מיליון ₪ העברה מתקציב רגיל.</v>
      </c>
      <c r="C224" s="3499"/>
      <c r="D224" s="3499"/>
      <c r="E224" s="3499"/>
      <c r="F224" s="3499"/>
      <c r="G224" s="3499"/>
      <c r="H224" s="3499"/>
      <c r="I224" s="3499"/>
      <c r="J224" s="3499"/>
      <c r="K224" s="3499"/>
      <c r="L224" s="3499"/>
      <c r="M224" s="3499"/>
      <c r="N224" s="3499"/>
      <c r="O224" s="3499"/>
      <c r="P224" s="3500"/>
    </row>
  </sheetData>
  <sheetProtection password="83C1" sheet="1" objects="1" scenarios="1"/>
  <mergeCells count="12">
    <mergeCell ref="B224:P224"/>
    <mergeCell ref="A198:P198"/>
    <mergeCell ref="A197:P197"/>
    <mergeCell ref="D1:M1"/>
    <mergeCell ref="D2:M2"/>
    <mergeCell ref="D3:M3"/>
    <mergeCell ref="A196:P196"/>
    <mergeCell ref="B27:P27"/>
    <mergeCell ref="B10:D10"/>
    <mergeCell ref="B207:D207"/>
    <mergeCell ref="B5:L5"/>
    <mergeCell ref="B202:L202"/>
  </mergeCells>
  <phoneticPr fontId="4" type="noConversion"/>
  <hyperlinks>
    <hyperlink ref="A4" location="'תוכן הענינים'!A1" tooltip="לחץ להצגת גליון תוכן הענינים" display="הצג תוכן ענינים"/>
  </hyperlinks>
  <printOptions horizontalCentered="1"/>
  <pageMargins left="0" right="0" top="0.75" bottom="0.98425196850393704" header="0.25" footer="0.511811023622047"/>
  <pageSetup paperSize="9" scale="78" orientation="landscape" blackAndWhite="1" horizontalDpi="300" verticalDpi="300" r:id="rId1"/>
  <headerFooter alignWithMargins="0">
    <oddHeader>&amp;L&amp;8&amp;A</oddHeader>
    <oddFooter>&amp;L &amp;C&amp;8 &amp;P</oddFooter>
  </headerFooter>
  <rowBreaks count="1" manualBreakCount="1">
    <brk id="28" max="14" man="1"/>
  </rowBreaks>
  <colBreaks count="1" manualBreakCount="1">
    <brk id="16"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4">
    <pageSetUpPr autoPageBreaks="0"/>
  </sheetPr>
  <dimension ref="A1:K46"/>
  <sheetViews>
    <sheetView showGridLines="0" showRowColHeaders="0" showZeros="0" rightToLeft="1" showOutlineSymbols="0" topLeftCell="A13" workbookViewId="0">
      <selection activeCell="B34" sqref="B34"/>
    </sheetView>
  </sheetViews>
  <sheetFormatPr defaultColWidth="9.109375" defaultRowHeight="13.2"/>
  <cols>
    <col min="1" max="8" width="9.109375" style="674"/>
    <col min="9" max="9" width="12.6640625" style="674" customWidth="1"/>
    <col min="10" max="16384" width="9.109375" style="674"/>
  </cols>
  <sheetData>
    <row r="1" spans="1:11" ht="22.5" customHeight="1">
      <c r="A1" s="685"/>
      <c r="B1" s="685"/>
      <c r="C1" s="685"/>
      <c r="D1" s="685"/>
      <c r="E1" s="3331" t="str">
        <f>'הגדרות כלליות'!D6</f>
        <v>עירית הרצליה</v>
      </c>
      <c r="F1" s="3332"/>
      <c r="G1" s="3332"/>
      <c r="H1" s="3332"/>
      <c r="I1" s="3332"/>
      <c r="J1" s="3332"/>
      <c r="K1" s="677"/>
    </row>
    <row r="2" spans="1:11" ht="15.6">
      <c r="A2" s="685"/>
      <c r="B2" s="685"/>
      <c r="C2" s="685"/>
      <c r="D2" s="685"/>
      <c r="E2" s="3333" t="s">
        <v>737</v>
      </c>
      <c r="F2" s="3334"/>
      <c r="G2" s="3334"/>
      <c r="H2" s="3334"/>
      <c r="I2" s="3334"/>
      <c r="J2" s="3335"/>
      <c r="K2" s="677"/>
    </row>
    <row r="3" spans="1:11" ht="14.25" customHeight="1">
      <c r="A3" s="672"/>
      <c r="B3" s="672"/>
      <c r="C3" s="672"/>
      <c r="D3" s="672"/>
      <c r="E3" s="3333" t="s">
        <v>338</v>
      </c>
      <c r="F3" s="3334"/>
      <c r="G3" s="3334"/>
      <c r="H3" s="3334"/>
      <c r="I3" s="3334"/>
      <c r="J3" s="3335"/>
      <c r="K3" s="677"/>
    </row>
    <row r="4" spans="1:11" ht="14.25" customHeight="1">
      <c r="A4" s="7" t="s">
        <v>339</v>
      </c>
      <c r="B4" s="801"/>
      <c r="C4" s="801"/>
      <c r="D4" s="801"/>
      <c r="E4" s="802"/>
      <c r="F4" s="803"/>
      <c r="G4" s="803"/>
      <c r="H4" s="803"/>
      <c r="I4" s="803"/>
      <c r="J4" s="803"/>
      <c r="K4" s="677"/>
    </row>
    <row r="5" spans="1:11" ht="15.6">
      <c r="A5" s="3336" t="str">
        <f>E1</f>
        <v>עירית הרצליה</v>
      </c>
      <c r="B5" s="3336"/>
      <c r="C5" s="3336"/>
      <c r="D5" s="3336"/>
      <c r="E5" s="3336"/>
      <c r="F5" s="3336"/>
      <c r="G5" s="3336"/>
      <c r="H5" s="3336"/>
      <c r="I5" s="3336"/>
      <c r="J5" s="804"/>
      <c r="K5" s="677"/>
    </row>
    <row r="6" spans="1:11" ht="15.6">
      <c r="A6" s="3336" t="str">
        <f>E2</f>
        <v>ביאורים לדוחות הכספיים</v>
      </c>
      <c r="B6" s="3336"/>
      <c r="C6" s="3336"/>
      <c r="D6" s="3336"/>
      <c r="E6" s="3336"/>
      <c r="F6" s="3336"/>
      <c r="G6" s="3336"/>
      <c r="H6" s="3337"/>
      <c r="I6" s="3336"/>
      <c r="J6" s="804"/>
      <c r="K6" s="677"/>
    </row>
    <row r="7" spans="1:11" ht="15.6">
      <c r="A7" s="3336" t="str">
        <f>E3</f>
        <v>(אלפי ש"ח)</v>
      </c>
      <c r="B7" s="3336"/>
      <c r="C7" s="3336"/>
      <c r="D7" s="3336"/>
      <c r="E7" s="3336"/>
      <c r="F7" s="3336"/>
      <c r="G7" s="3336"/>
      <c r="H7" s="3336"/>
      <c r="I7" s="3336"/>
      <c r="J7" s="804"/>
      <c r="K7" s="677"/>
    </row>
    <row r="8" spans="1:11">
      <c r="A8" s="805"/>
      <c r="B8" s="804"/>
      <c r="C8" s="804"/>
      <c r="D8" s="365"/>
      <c r="E8" s="804"/>
      <c r="F8" s="804"/>
      <c r="G8" s="806"/>
      <c r="H8" s="804"/>
      <c r="I8" s="804"/>
      <c r="J8" s="804"/>
      <c r="K8" s="677"/>
    </row>
    <row r="9" spans="1:11" ht="24.75" customHeight="1">
      <c r="A9" s="808" t="s">
        <v>758</v>
      </c>
      <c r="B9" s="646"/>
      <c r="C9" s="646"/>
      <c r="D9" s="656"/>
      <c r="E9" s="646"/>
      <c r="F9" s="646"/>
      <c r="G9" s="807"/>
      <c r="H9" s="646"/>
      <c r="I9" s="646"/>
      <c r="J9" s="646"/>
      <c r="K9" s="677"/>
    </row>
    <row r="10" spans="1:11" ht="11.25" customHeight="1">
      <c r="A10" s="808"/>
      <c r="B10" s="3267"/>
      <c r="C10" s="3267"/>
      <c r="D10" s="656"/>
      <c r="E10" s="3267"/>
      <c r="F10" s="3267"/>
      <c r="G10" s="807"/>
      <c r="H10" s="3267"/>
      <c r="I10" s="3267"/>
      <c r="J10" s="3267"/>
      <c r="K10" s="677"/>
    </row>
    <row r="11" spans="1:11" ht="62.25" customHeight="1">
      <c r="A11" s="646"/>
      <c r="B11" s="3465" t="str">
        <f>CONCATENATE("הנתונים של התקבולים והתשלומים של תקציב הרווחה שנעשו באמצעות משרד הרווחה נרשמו בספרי החשבונות על פי נתונים שנתקבלו מדוחות שהופקו ע""י המחשב של משרד הרווחה ","חלק מהנתונים שנזקפו לחובת ה",SugGufMevukar," גולמו בהתאם לשיעורי ההשתתפות המקובלים של ה",SugGufMevukar," בשיעור 0%-25% כך שהעלויות בתקציב הרגיל משקפות את מלוא סכום ההוצאות (100%) שהוצאו ע""י משרד הרווחה וה",SugGufMevukar,".")</f>
        <v>הנתונים של התקבולים והתשלומים של תקציב הרווחה שנעשו באמצעות משרד הרווחה נרשמו בספרי החשבונות על פי נתונים שנתקבלו מדוחות שהופקו ע"י המחשב של משרד הרווחה חלק מהנתונים שנזקפו לחובת העירייה גולמו בהתאם לשיעורי ההשתתפות המקובלים של העירייה בשיעור 0%-25% כך שהעלויות בתקציב הרגיל משקפות את מלוא סכום ההוצאות (100%) שהוצאו ע"י משרד הרווחה והעירייה.</v>
      </c>
      <c r="C11" s="3463"/>
      <c r="D11" s="3463"/>
      <c r="E11" s="3463"/>
      <c r="F11" s="3463"/>
      <c r="G11" s="3463"/>
      <c r="H11" s="3463"/>
      <c r="I11" s="3463"/>
      <c r="J11" s="3267"/>
      <c r="K11" s="677"/>
    </row>
    <row r="12" spans="1:11">
      <c r="A12" s="646"/>
      <c r="B12" s="646"/>
      <c r="C12" s="646"/>
      <c r="D12" s="656"/>
      <c r="E12" s="646"/>
      <c r="F12" s="646"/>
      <c r="G12" s="807"/>
      <c r="H12" s="646"/>
      <c r="I12" s="646"/>
      <c r="J12" s="646"/>
      <c r="K12" s="677"/>
    </row>
    <row r="13" spans="1:11">
      <c r="A13" s="808" t="s">
        <v>1154</v>
      </c>
      <c r="B13" s="646"/>
      <c r="C13" s="646"/>
      <c r="D13" s="656"/>
      <c r="E13" s="646"/>
      <c r="F13" s="646"/>
      <c r="G13" s="807"/>
      <c r="H13" s="646"/>
      <c r="I13" s="646"/>
      <c r="J13" s="646"/>
      <c r="K13" s="677"/>
    </row>
    <row r="14" spans="1:11">
      <c r="A14" s="646"/>
      <c r="B14" s="646"/>
      <c r="C14" s="646"/>
      <c r="D14" s="656"/>
      <c r="E14" s="646"/>
      <c r="F14" s="646"/>
      <c r="G14" s="807"/>
      <c r="H14" s="646"/>
      <c r="I14" s="646"/>
      <c r="J14" s="646"/>
      <c r="K14" s="677"/>
    </row>
    <row r="15" spans="1:11" ht="23.25" customHeight="1">
      <c r="A15" s="646"/>
      <c r="B15" s="3462" t="str">
        <f>CONCATENATE("נתוני התשלומים של תקציבי החינוך כוללים, בין היתר, סכומים בהם משרד החינוך חייב את ה",SugGufMevukar," עבור שכר של גננות עובדות מדינה המועסקות על ידי משרד החינוך בגני הילדים שבבעלות ה",SugGufMevukar,".")</f>
        <v>נתוני התשלומים של תקציבי החינוך כוללים, בין היתר, סכומים בהם משרד החינוך חייב את העירייה עבור שכר של גננות עובדות מדינה המועסקות על ידי משרד החינוך בגני הילדים שבבעלות העירייה.</v>
      </c>
      <c r="C15" s="3463"/>
      <c r="D15" s="3463"/>
      <c r="E15" s="3463"/>
      <c r="F15" s="3463"/>
      <c r="G15" s="3463"/>
      <c r="H15" s="3463"/>
      <c r="I15" s="3463"/>
      <c r="J15" s="3267"/>
      <c r="K15" s="677"/>
    </row>
    <row r="16" spans="1:11">
      <c r="A16" s="646"/>
      <c r="B16" s="646"/>
      <c r="C16" s="646"/>
      <c r="D16" s="656"/>
      <c r="E16" s="646"/>
      <c r="F16" s="646"/>
      <c r="G16" s="807"/>
      <c r="H16" s="646"/>
      <c r="I16" s="646"/>
      <c r="J16" s="646"/>
      <c r="K16" s="677"/>
    </row>
    <row r="17" spans="1:11" ht="28.5" customHeight="1">
      <c r="A17" s="646"/>
      <c r="B17" s="3465" t="s">
        <v>2196</v>
      </c>
      <c r="C17" s="3463"/>
      <c r="D17" s="3463"/>
      <c r="E17" s="3463"/>
      <c r="F17" s="3463"/>
      <c r="G17" s="3463"/>
      <c r="H17" s="3463"/>
      <c r="I17" s="3463"/>
      <c r="J17" s="3267"/>
      <c r="K17" s="677"/>
    </row>
    <row r="18" spans="1:11">
      <c r="A18" s="646"/>
      <c r="B18" s="646"/>
      <c r="C18" s="646"/>
      <c r="D18" s="656"/>
      <c r="E18" s="646"/>
      <c r="F18" s="646"/>
      <c r="G18" s="807"/>
      <c r="H18" s="646"/>
      <c r="I18" s="646"/>
      <c r="J18" s="646"/>
      <c r="K18" s="677"/>
    </row>
    <row r="19" spans="1:11">
      <c r="A19" s="808" t="s">
        <v>2466</v>
      </c>
      <c r="B19" s="646"/>
      <c r="C19" s="646"/>
      <c r="D19" s="656"/>
      <c r="E19" s="646"/>
      <c r="F19" s="646"/>
      <c r="G19" s="807"/>
      <c r="H19" s="646"/>
      <c r="I19" s="646"/>
      <c r="J19" s="646"/>
      <c r="K19" s="677"/>
    </row>
    <row r="20" spans="1:11">
      <c r="A20" s="3276" t="s">
        <v>2467</v>
      </c>
      <c r="B20" s="3276"/>
      <c r="C20" s="646"/>
      <c r="D20" s="656"/>
      <c r="E20" s="646"/>
      <c r="F20" s="646"/>
      <c r="G20" s="807"/>
      <c r="H20" s="646"/>
      <c r="I20" s="646"/>
      <c r="J20" s="646"/>
      <c r="K20" s="677"/>
    </row>
    <row r="21" spans="1:11">
      <c r="A21" s="3276" t="s">
        <v>2468</v>
      </c>
      <c r="B21" s="656"/>
      <c r="C21" s="656"/>
      <c r="D21" s="656"/>
      <c r="E21" s="656"/>
      <c r="F21" s="656"/>
      <c r="G21" s="807"/>
      <c r="H21" s="807"/>
      <c r="I21" s="807"/>
      <c r="J21" s="646"/>
      <c r="K21" s="677"/>
    </row>
    <row r="22" spans="1:11" ht="25.5" customHeight="1">
      <c r="A22" s="646"/>
      <c r="B22" s="3510"/>
      <c r="C22" s="3511"/>
      <c r="D22" s="3511"/>
      <c r="E22" s="3511"/>
      <c r="F22" s="3511"/>
      <c r="G22" s="3511"/>
      <c r="H22" s="3511"/>
      <c r="I22" s="3511"/>
      <c r="J22" s="646"/>
      <c r="K22" s="677"/>
    </row>
    <row r="23" spans="1:11">
      <c r="A23" s="646"/>
      <c r="B23" s="3262"/>
      <c r="C23" s="656"/>
      <c r="D23" s="656"/>
      <c r="E23" s="656"/>
      <c r="F23" s="656"/>
      <c r="G23" s="807"/>
      <c r="H23" s="807"/>
      <c r="I23" s="807"/>
      <c r="J23" s="646"/>
      <c r="K23" s="677"/>
    </row>
    <row r="24" spans="1:11">
      <c r="A24" s="646"/>
      <c r="B24" s="656"/>
      <c r="C24" s="656"/>
      <c r="D24" s="656"/>
      <c r="E24" s="656"/>
      <c r="F24" s="656"/>
      <c r="G24" s="807"/>
      <c r="H24" s="807"/>
      <c r="I24" s="807"/>
      <c r="J24" s="646"/>
      <c r="K24" s="677"/>
    </row>
    <row r="25" spans="1:11">
      <c r="A25" s="646"/>
      <c r="B25" s="656"/>
      <c r="C25" s="656"/>
      <c r="D25" s="656"/>
      <c r="E25" s="656"/>
      <c r="F25" s="656"/>
      <c r="G25" s="807"/>
      <c r="H25" s="807"/>
      <c r="I25" s="807"/>
      <c r="J25" s="646"/>
      <c r="K25" s="677"/>
    </row>
    <row r="26" spans="1:11">
      <c r="A26" s="646"/>
      <c r="B26" s="656"/>
      <c r="C26" s="656"/>
      <c r="D26" s="656"/>
      <c r="E26" s="656"/>
      <c r="F26" s="656"/>
      <c r="G26" s="809"/>
      <c r="H26" s="656"/>
      <c r="I26" s="656"/>
      <c r="J26" s="646"/>
      <c r="K26" s="677"/>
    </row>
    <row r="27" spans="1:11">
      <c r="A27" s="808" t="s">
        <v>1369</v>
      </c>
      <c r="B27" s="646"/>
      <c r="C27" s="646"/>
      <c r="D27" s="646"/>
      <c r="E27" s="646"/>
      <c r="F27" s="646"/>
      <c r="G27" s="646"/>
      <c r="H27" s="646"/>
      <c r="I27" s="646"/>
      <c r="J27" s="646"/>
      <c r="K27" s="677"/>
    </row>
    <row r="28" spans="1:11">
      <c r="A28" s="808"/>
      <c r="B28" s="3265"/>
      <c r="C28" s="3265"/>
      <c r="D28" s="3265"/>
      <c r="E28" s="3265"/>
      <c r="F28" s="3265"/>
      <c r="G28" s="3265"/>
      <c r="H28" s="3265"/>
      <c r="I28" s="3265"/>
      <c r="J28" s="3265"/>
      <c r="K28" s="677"/>
    </row>
    <row r="29" spans="1:11" ht="28.5" customHeight="1">
      <c r="A29" s="656"/>
      <c r="B29" s="3465" t="s">
        <v>2675</v>
      </c>
      <c r="C29" s="3475"/>
      <c r="D29" s="3475"/>
      <c r="E29" s="3475"/>
      <c r="F29" s="3475"/>
      <c r="G29" s="3475"/>
      <c r="H29" s="3475"/>
      <c r="I29" s="3475"/>
      <c r="J29" s="3267"/>
      <c r="K29" s="677"/>
    </row>
    <row r="30" spans="1:11">
      <c r="A30" s="656"/>
      <c r="B30" s="3262"/>
      <c r="C30" s="646"/>
      <c r="D30" s="646"/>
      <c r="E30" s="646"/>
      <c r="F30" s="646"/>
      <c r="G30" s="646"/>
      <c r="H30" s="646"/>
      <c r="I30" s="646"/>
      <c r="J30" s="3267"/>
      <c r="K30" s="677"/>
    </row>
    <row r="31" spans="1:11" ht="40.5" customHeight="1">
      <c r="A31" s="656"/>
      <c r="B31" s="3465" t="s">
        <v>2676</v>
      </c>
      <c r="C31" s="3463"/>
      <c r="D31" s="3463"/>
      <c r="E31" s="3463"/>
      <c r="F31" s="3463"/>
      <c r="G31" s="3463"/>
      <c r="H31" s="3463"/>
      <c r="I31" s="3463"/>
      <c r="J31" s="3267"/>
      <c r="K31" s="677"/>
    </row>
    <row r="32" spans="1:11">
      <c r="A32" s="656"/>
      <c r="B32" s="3262"/>
      <c r="C32" s="646"/>
      <c r="D32" s="646"/>
      <c r="E32" s="646"/>
      <c r="F32" s="646"/>
      <c r="G32" s="646"/>
      <c r="H32" s="646"/>
      <c r="I32" s="646"/>
      <c r="J32" s="3267"/>
      <c r="K32" s="677"/>
    </row>
    <row r="33" spans="1:11" ht="29.25" customHeight="1">
      <c r="A33" s="656"/>
      <c r="B33" s="3465" t="s">
        <v>2677</v>
      </c>
      <c r="C33" s="3463"/>
      <c r="D33" s="3463"/>
      <c r="E33" s="3463"/>
      <c r="F33" s="3463"/>
      <c r="G33" s="3463"/>
      <c r="H33" s="3463"/>
      <c r="I33" s="3463"/>
      <c r="J33" s="3267"/>
      <c r="K33" s="677"/>
    </row>
    <row r="34" spans="1:11">
      <c r="A34" s="656"/>
      <c r="B34" s="656"/>
      <c r="C34" s="646"/>
      <c r="D34" s="646"/>
      <c r="E34" s="646"/>
      <c r="F34" s="646"/>
      <c r="G34" s="646"/>
      <c r="H34" s="646"/>
      <c r="I34" s="646"/>
      <c r="J34" s="646"/>
      <c r="K34" s="677"/>
    </row>
    <row r="35" spans="1:11" ht="13.8" thickBot="1">
      <c r="A35" s="656"/>
      <c r="B35" s="646"/>
      <c r="C35" s="646"/>
      <c r="D35" s="646"/>
      <c r="E35" s="646"/>
      <c r="F35" s="646"/>
      <c r="G35" s="646"/>
      <c r="H35" s="646"/>
      <c r="I35" s="646"/>
      <c r="J35" s="646"/>
      <c r="K35" s="677"/>
    </row>
    <row r="36" spans="1:11" ht="13.8" thickTop="1">
      <c r="A36" s="810"/>
      <c r="B36" s="810"/>
      <c r="C36" s="810"/>
      <c r="D36" s="810"/>
      <c r="E36" s="810"/>
      <c r="F36" s="810"/>
      <c r="G36" s="810"/>
      <c r="H36" s="810"/>
      <c r="I36" s="810"/>
      <c r="J36" s="810"/>
    </row>
    <row r="46" spans="1:11">
      <c r="E46" s="811"/>
      <c r="G46" s="812"/>
      <c r="I46" s="811"/>
    </row>
  </sheetData>
  <sheetProtection password="83C1" sheet="1" objects="1" scenarios="1"/>
  <mergeCells count="13">
    <mergeCell ref="A5:I5"/>
    <mergeCell ref="A6:I6"/>
    <mergeCell ref="A7:I7"/>
    <mergeCell ref="E1:J1"/>
    <mergeCell ref="E2:J2"/>
    <mergeCell ref="E3:J3"/>
    <mergeCell ref="B31:I31"/>
    <mergeCell ref="B33:I33"/>
    <mergeCell ref="B11:I11"/>
    <mergeCell ref="B15:I15"/>
    <mergeCell ref="B17:I17"/>
    <mergeCell ref="B22:I22"/>
    <mergeCell ref="B29:I29"/>
  </mergeCells>
  <phoneticPr fontId="4" type="noConversion"/>
  <hyperlinks>
    <hyperlink ref="A4" location="'תוכן הענינים'!A1" tooltip="לחץ להצגת גליון תוכן הענינים" display="הצג תוכן ענינים"/>
  </hyperlinks>
  <printOptions horizontalCentered="1"/>
  <pageMargins left="0.75" right="0.75" top="0.75" bottom="1" header="0.25" footer="0.5"/>
  <pageSetup paperSize="9" orientation="portrait" blackAndWhite="1" horizontalDpi="300" verticalDpi="300" r:id="rId1"/>
  <headerFooter alignWithMargins="0">
    <oddHeader>&amp;L&amp;8&amp;A</oddHeader>
    <oddFooter>&amp;C&amp;8&amp;P</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5"/>
  <dimension ref="A1:D397"/>
  <sheetViews>
    <sheetView showRowColHeaders="0" showZeros="0" rightToLeft="1" showOutlineSymbols="0" topLeftCell="A292" workbookViewId="0">
      <selection activeCell="A331" sqref="A331"/>
    </sheetView>
  </sheetViews>
  <sheetFormatPr defaultColWidth="9.109375" defaultRowHeight="13.2"/>
  <cols>
    <col min="1" max="1" width="56.88671875" style="766" customWidth="1"/>
    <col min="2" max="2" width="11" style="2921" customWidth="1"/>
    <col min="3" max="3" width="11.33203125" style="2921" customWidth="1"/>
    <col min="4" max="4" width="19.5546875" style="2921" customWidth="1"/>
    <col min="5" max="16384" width="9.109375" style="766"/>
  </cols>
  <sheetData>
    <row r="1" spans="1:4">
      <c r="A1" s="2917" t="s">
        <v>339</v>
      </c>
      <c r="B1" s="2920"/>
      <c r="C1" s="2922" t="s">
        <v>786</v>
      </c>
      <c r="D1" s="2922"/>
    </row>
    <row r="2" spans="1:4">
      <c r="A2" s="2917"/>
      <c r="B2" s="2920"/>
      <c r="C2" s="2922"/>
      <c r="D2" s="2922"/>
    </row>
    <row r="3" spans="1:4">
      <c r="A3" s="2917"/>
      <c r="B3" s="2920"/>
      <c r="C3" s="2922"/>
      <c r="D3" s="2922"/>
    </row>
    <row r="4" spans="1:4">
      <c r="A4" s="2918" t="s">
        <v>2207</v>
      </c>
      <c r="B4" s="2920"/>
      <c r="C4" s="2920"/>
      <c r="D4" s="2920"/>
    </row>
    <row r="5" spans="1:4">
      <c r="A5" s="3281"/>
      <c r="B5" s="2920"/>
      <c r="C5" s="2920"/>
      <c r="D5" s="2920"/>
    </row>
    <row r="6" spans="1:4">
      <c r="A6" s="3281" t="s">
        <v>2601</v>
      </c>
      <c r="B6" s="2920"/>
      <c r="C6" s="2920"/>
      <c r="D6" s="2920"/>
    </row>
    <row r="7" spans="1:4">
      <c r="A7" s="3281" t="s">
        <v>2551</v>
      </c>
      <c r="B7" s="2920"/>
      <c r="C7" s="2920"/>
      <c r="D7" s="2920"/>
    </row>
    <row r="8" spans="1:4">
      <c r="A8" s="2919"/>
      <c r="B8" s="2920"/>
      <c r="C8" s="2920"/>
      <c r="D8" s="2920"/>
    </row>
    <row r="9" spans="1:4">
      <c r="A9" s="2919"/>
      <c r="B9" s="2920"/>
      <c r="C9" s="2920"/>
      <c r="D9" s="2920"/>
    </row>
    <row r="10" spans="1:4">
      <c r="A10" s="2919"/>
      <c r="B10" s="2920"/>
      <c r="C10" s="2920"/>
      <c r="D10" s="2920"/>
    </row>
    <row r="11" spans="1:4">
      <c r="A11" s="2874"/>
      <c r="B11" s="2920"/>
      <c r="C11" s="2920"/>
      <c r="D11" s="2920"/>
    </row>
    <row r="12" spans="1:4">
      <c r="A12" s="2874"/>
      <c r="B12" s="2920"/>
      <c r="C12" s="2920"/>
      <c r="D12" s="2920"/>
    </row>
    <row r="13" spans="1:4">
      <c r="A13" s="2918" t="s">
        <v>2342</v>
      </c>
      <c r="B13" s="2920"/>
      <c r="C13" s="2920"/>
      <c r="D13" s="2920"/>
    </row>
    <row r="14" spans="1:4">
      <c r="A14" s="2918"/>
      <c r="B14" s="2920"/>
      <c r="C14" s="2920"/>
      <c r="D14" s="2920"/>
    </row>
    <row r="15" spans="1:4">
      <c r="A15" s="3227" t="s">
        <v>2479</v>
      </c>
      <c r="B15" s="2920"/>
      <c r="C15" s="2920"/>
      <c r="D15" s="2920"/>
    </row>
    <row r="16" spans="1:4">
      <c r="A16" s="2918"/>
      <c r="B16" s="2920"/>
      <c r="C16" s="2920"/>
      <c r="D16" s="2920"/>
    </row>
    <row r="17" spans="1:4">
      <c r="A17" s="2874"/>
      <c r="B17" s="2922" t="s">
        <v>2125</v>
      </c>
      <c r="C17" s="2922" t="s">
        <v>2128</v>
      </c>
      <c r="D17" s="2922" t="s">
        <v>822</v>
      </c>
    </row>
    <row r="18" spans="1:4">
      <c r="A18" s="2918" t="s">
        <v>2122</v>
      </c>
      <c r="B18" s="3149" t="s">
        <v>2126</v>
      </c>
      <c r="C18" s="3149" t="s">
        <v>2127</v>
      </c>
      <c r="D18" s="3149" t="s">
        <v>2123</v>
      </c>
    </row>
    <row r="19" spans="1:4">
      <c r="A19" s="2874"/>
      <c r="B19" s="2920"/>
      <c r="C19" s="2920"/>
      <c r="D19" s="2920"/>
    </row>
    <row r="20" spans="1:4">
      <c r="A20" s="3227" t="s">
        <v>2340</v>
      </c>
      <c r="B20" s="3229" t="s">
        <v>2341</v>
      </c>
      <c r="C20" s="3309">
        <v>1</v>
      </c>
      <c r="D20" s="2920"/>
    </row>
    <row r="21" spans="1:4">
      <c r="A21" s="3227" t="s">
        <v>2344</v>
      </c>
      <c r="B21" s="3229" t="s">
        <v>2341</v>
      </c>
      <c r="C21" s="3309">
        <v>1</v>
      </c>
      <c r="D21" s="2920"/>
    </row>
    <row r="22" spans="1:4">
      <c r="A22" s="3227" t="s">
        <v>2345</v>
      </c>
      <c r="B22" s="3229" t="s">
        <v>2341</v>
      </c>
      <c r="C22" s="3309">
        <v>0.99</v>
      </c>
      <c r="D22" s="2920"/>
    </row>
    <row r="23" spans="1:4">
      <c r="A23" s="3227" t="s">
        <v>2346</v>
      </c>
      <c r="B23" s="3229" t="s">
        <v>2341</v>
      </c>
      <c r="C23" s="3309">
        <v>1</v>
      </c>
      <c r="D23" s="2920"/>
    </row>
    <row r="24" spans="1:4">
      <c r="A24" s="3227" t="s">
        <v>2347</v>
      </c>
      <c r="B24" s="3229" t="s">
        <v>2343</v>
      </c>
      <c r="C24" s="2920"/>
      <c r="D24" s="2920"/>
    </row>
    <row r="25" spans="1:4">
      <c r="A25" s="3227" t="s">
        <v>2348</v>
      </c>
      <c r="B25" s="3229" t="s">
        <v>2343</v>
      </c>
      <c r="C25" s="2920"/>
      <c r="D25" s="2920"/>
    </row>
    <row r="26" spans="1:4">
      <c r="A26" s="3227" t="s">
        <v>2349</v>
      </c>
      <c r="B26" s="3229" t="s">
        <v>2343</v>
      </c>
      <c r="C26" s="2920"/>
      <c r="D26" s="2920"/>
    </row>
    <row r="27" spans="1:4">
      <c r="A27" s="3227" t="s">
        <v>2350</v>
      </c>
      <c r="B27" s="3229" t="s">
        <v>2341</v>
      </c>
      <c r="C27" s="3309">
        <v>1</v>
      </c>
      <c r="D27" s="2920"/>
    </row>
    <row r="28" spans="1:4">
      <c r="A28" s="3227" t="s">
        <v>2351</v>
      </c>
      <c r="B28" s="3229" t="s">
        <v>2343</v>
      </c>
      <c r="C28" s="2920"/>
      <c r="D28" s="2920"/>
    </row>
    <row r="29" spans="1:4">
      <c r="A29" s="3227" t="s">
        <v>2352</v>
      </c>
      <c r="B29" s="3229" t="s">
        <v>2343</v>
      </c>
      <c r="C29" s="3309"/>
      <c r="D29" s="2920"/>
    </row>
    <row r="30" spans="1:4">
      <c r="A30" s="2874"/>
      <c r="B30" s="2920"/>
      <c r="C30" s="2920"/>
      <c r="D30" s="2920"/>
    </row>
    <row r="31" spans="1:4">
      <c r="A31" s="2874"/>
      <c r="B31" s="2920"/>
      <c r="C31" s="2920"/>
      <c r="D31" s="2920"/>
    </row>
    <row r="32" spans="1:4">
      <c r="A32" s="2874"/>
      <c r="B32" s="2920"/>
      <c r="C32" s="2920"/>
      <c r="D32" s="2920"/>
    </row>
    <row r="33" spans="1:4">
      <c r="A33" s="2874"/>
      <c r="B33" s="2922" t="s">
        <v>2123</v>
      </c>
      <c r="C33" s="2922" t="s">
        <v>2124</v>
      </c>
      <c r="D33" s="2922" t="s">
        <v>1141</v>
      </c>
    </row>
    <row r="34" spans="1:4">
      <c r="A34" s="2918" t="s">
        <v>2122</v>
      </c>
      <c r="B34" s="3149" t="s">
        <v>806</v>
      </c>
      <c r="C34" s="3149" t="s">
        <v>806</v>
      </c>
      <c r="D34" s="3149" t="s">
        <v>806</v>
      </c>
    </row>
    <row r="35" spans="1:4">
      <c r="A35" s="2874">
        <f>A19</f>
        <v>0</v>
      </c>
      <c r="B35" s="3226"/>
      <c r="C35" s="3226"/>
      <c r="D35" s="3226"/>
    </row>
    <row r="36" spans="1:4">
      <c r="A36" s="3227" t="s">
        <v>2340</v>
      </c>
      <c r="B36" s="3226">
        <v>29410</v>
      </c>
      <c r="C36" s="3226"/>
      <c r="D36" s="3226"/>
    </row>
    <row r="37" spans="1:4">
      <c r="A37" s="2874" t="str">
        <f>A21</f>
        <v>החברה לפיתוח הרצליה בע"מ</v>
      </c>
      <c r="B37" s="3226">
        <v>2053</v>
      </c>
      <c r="C37" s="3226"/>
      <c r="D37" s="3226"/>
    </row>
    <row r="38" spans="1:4">
      <c r="A38" s="2874" t="str">
        <f>A22</f>
        <v>מרכז קהילתי לספורט תרבות ונופש בהרצליה בע"מ</v>
      </c>
      <c r="B38" s="3226"/>
      <c r="C38" s="3226"/>
      <c r="D38" s="3226"/>
    </row>
    <row r="39" spans="1:4">
      <c r="A39" s="2874" t="str">
        <f>A23</f>
        <v xml:space="preserve">החברה לאומנות ותרבות הרצליה בע"מ (חל"צ) </v>
      </c>
      <c r="B39" s="3226"/>
      <c r="C39" s="3226"/>
      <c r="D39" s="3226"/>
    </row>
    <row r="40" spans="1:4">
      <c r="A40" s="2874" t="str">
        <f>A24</f>
        <v>עמותת בני הרצליה (ע"ר)</v>
      </c>
      <c r="B40" s="3226"/>
      <c r="C40" s="3226"/>
      <c r="D40" s="3226"/>
    </row>
    <row r="41" spans="1:4">
      <c r="A41" s="3227" t="s">
        <v>2348</v>
      </c>
      <c r="B41" s="3226"/>
      <c r="C41" s="3226"/>
      <c r="D41" s="3226"/>
    </row>
    <row r="42" spans="1:4">
      <c r="A42" s="3227" t="s">
        <v>2349</v>
      </c>
      <c r="B42" s="3226"/>
      <c r="C42" s="3226"/>
      <c r="D42" s="3226"/>
    </row>
    <row r="43" spans="1:4">
      <c r="A43" s="3227" t="s">
        <v>2350</v>
      </c>
      <c r="B43" s="3226">
        <v>136959</v>
      </c>
      <c r="C43" s="3226"/>
      <c r="D43" s="3226">
        <v>11173</v>
      </c>
    </row>
    <row r="44" spans="1:4">
      <c r="A44" s="3227" t="s">
        <v>2351</v>
      </c>
      <c r="B44" s="3226"/>
      <c r="C44" s="3226"/>
      <c r="D44" s="3226"/>
    </row>
    <row r="45" spans="1:4">
      <c r="A45" s="3227" t="s">
        <v>2352</v>
      </c>
      <c r="B45" s="3226"/>
      <c r="C45" s="3226"/>
      <c r="D45" s="3226"/>
    </row>
    <row r="46" spans="1:4">
      <c r="A46" s="2874"/>
      <c r="B46" s="3226"/>
      <c r="C46" s="3226"/>
      <c r="D46" s="3226"/>
    </row>
    <row r="47" spans="1:4">
      <c r="A47" s="3227"/>
      <c r="B47" s="3228"/>
      <c r="C47" s="3228"/>
      <c r="D47" s="3229"/>
    </row>
    <row r="48" spans="1:4">
      <c r="A48" s="3222"/>
      <c r="B48" s="3223" t="s">
        <v>2129</v>
      </c>
      <c r="C48" s="3223" t="s">
        <v>2131</v>
      </c>
      <c r="D48" s="2922" t="s">
        <v>2133</v>
      </c>
    </row>
    <row r="49" spans="1:4">
      <c r="A49" s="3222"/>
      <c r="B49" s="3223" t="s">
        <v>2130</v>
      </c>
      <c r="C49" s="3223" t="s">
        <v>2480</v>
      </c>
      <c r="D49" s="2922" t="s">
        <v>2134</v>
      </c>
    </row>
    <row r="50" spans="1:4">
      <c r="A50" s="2874"/>
      <c r="B50" s="3223" t="s">
        <v>1142</v>
      </c>
      <c r="C50" s="3224" t="s">
        <v>2132</v>
      </c>
      <c r="D50" s="2922" t="s">
        <v>2135</v>
      </c>
    </row>
    <row r="51" spans="1:4">
      <c r="A51" s="2918" t="s">
        <v>2122</v>
      </c>
      <c r="B51" s="3225" t="s">
        <v>806</v>
      </c>
      <c r="C51" s="3225" t="s">
        <v>806</v>
      </c>
      <c r="D51" s="3225" t="s">
        <v>806</v>
      </c>
    </row>
    <row r="52" spans="1:4">
      <c r="A52" s="2874">
        <f t="shared" ref="A52:A57" si="0">A19</f>
        <v>0</v>
      </c>
      <c r="B52" s="3226"/>
      <c r="C52" s="3226"/>
      <c r="D52" s="2920"/>
    </row>
    <row r="53" spans="1:4">
      <c r="A53" s="2874" t="str">
        <f t="shared" si="0"/>
        <v>החברה העירונית לפיתוח תיירות בהרצליה בע"מ</v>
      </c>
      <c r="B53" s="3226"/>
      <c r="C53" s="3226">
        <v>6</v>
      </c>
      <c r="D53" s="3314">
        <v>48397</v>
      </c>
    </row>
    <row r="54" spans="1:4">
      <c r="A54" s="2874" t="str">
        <f t="shared" si="0"/>
        <v>החברה לפיתוח הרצליה בע"מ</v>
      </c>
      <c r="B54" s="3226"/>
      <c r="C54" s="3226">
        <v>-18128</v>
      </c>
      <c r="D54" s="3308">
        <v>246</v>
      </c>
    </row>
    <row r="55" spans="1:4">
      <c r="A55" s="2874" t="str">
        <f t="shared" si="0"/>
        <v>מרכז קהילתי לספורט תרבות ונופש בהרצליה בע"מ</v>
      </c>
      <c r="B55" s="3226"/>
      <c r="C55" s="3320" t="s">
        <v>2449</v>
      </c>
      <c r="D55" s="2920">
        <v>256</v>
      </c>
    </row>
    <row r="56" spans="1:4">
      <c r="A56" s="2874" t="str">
        <f t="shared" si="0"/>
        <v xml:space="preserve">החברה לאומנות ותרבות הרצליה בע"מ (חל"צ) </v>
      </c>
      <c r="B56" s="3226"/>
      <c r="C56" s="3226">
        <v>-423</v>
      </c>
      <c r="D56" s="3314">
        <v>1686</v>
      </c>
    </row>
    <row r="57" spans="1:4">
      <c r="A57" s="2874" t="str">
        <f t="shared" si="0"/>
        <v>עמותת בני הרצליה (ע"ר)</v>
      </c>
      <c r="B57" s="3226"/>
      <c r="C57" s="3226">
        <v>-319</v>
      </c>
      <c r="D57" s="3314">
        <v>-1970</v>
      </c>
    </row>
    <row r="58" spans="1:4">
      <c r="A58" s="3227" t="s">
        <v>2353</v>
      </c>
      <c r="B58" s="3226"/>
      <c r="C58" s="3320" t="s">
        <v>2449</v>
      </c>
      <c r="D58" s="3229" t="s">
        <v>2449</v>
      </c>
    </row>
    <row r="59" spans="1:4">
      <c r="A59" s="3227" t="s">
        <v>2354</v>
      </c>
      <c r="B59" s="3226"/>
      <c r="C59" s="3226">
        <v>27</v>
      </c>
      <c r="D59" s="3314">
        <v>-2829</v>
      </c>
    </row>
    <row r="60" spans="1:4">
      <c r="A60" s="3227" t="s">
        <v>2351</v>
      </c>
      <c r="B60" s="3226"/>
      <c r="C60" s="3226">
        <v>-10</v>
      </c>
      <c r="D60" s="3314">
        <v>2383</v>
      </c>
    </row>
    <row r="61" spans="1:4">
      <c r="A61" s="3227" t="s">
        <v>2355</v>
      </c>
      <c r="B61" s="3226"/>
      <c r="C61" s="3226">
        <v>-130</v>
      </c>
      <c r="D61" s="3314">
        <v>4245</v>
      </c>
    </row>
    <row r="62" spans="1:4">
      <c r="A62" s="3227" t="s">
        <v>2350</v>
      </c>
      <c r="B62" s="3226"/>
      <c r="C62" s="3226">
        <v>882</v>
      </c>
      <c r="D62" s="3314" t="s">
        <v>2586</v>
      </c>
    </row>
    <row r="63" spans="1:4">
      <c r="A63" s="2874">
        <f>A31</f>
        <v>0</v>
      </c>
      <c r="B63" s="3226"/>
      <c r="C63" s="3226"/>
      <c r="D63" s="2920"/>
    </row>
    <row r="64" spans="1:4">
      <c r="A64" s="2874">
        <f>A32</f>
        <v>0</v>
      </c>
      <c r="B64" s="3226"/>
      <c r="C64" s="3226"/>
      <c r="D64" s="2920"/>
    </row>
    <row r="65" spans="1:4">
      <c r="A65" s="2874"/>
      <c r="B65" s="2920"/>
      <c r="C65" s="2920"/>
      <c r="D65" s="2920"/>
    </row>
    <row r="66" spans="1:4">
      <c r="A66" s="3289" t="s">
        <v>2478</v>
      </c>
      <c r="B66" s="2920"/>
      <c r="C66" s="2920"/>
      <c r="D66" s="2920"/>
    </row>
    <row r="67" spans="1:4">
      <c r="A67" s="3289"/>
      <c r="B67" s="2920"/>
      <c r="C67" s="2920"/>
      <c r="D67" s="2920"/>
    </row>
    <row r="68" spans="1:4">
      <c r="A68" s="3289"/>
      <c r="B68" s="2920"/>
      <c r="C68" s="2920"/>
      <c r="D68" s="2920"/>
    </row>
    <row r="69" spans="1:4">
      <c r="A69" s="3319" t="s">
        <v>2482</v>
      </c>
      <c r="B69" s="2920"/>
      <c r="C69" s="2920"/>
      <c r="D69" s="2920"/>
    </row>
    <row r="70" spans="1:4">
      <c r="A70" s="3289" t="s">
        <v>2356</v>
      </c>
      <c r="B70" s="2920"/>
      <c r="C70" s="2920"/>
      <c r="D70" s="2920"/>
    </row>
    <row r="71" spans="1:4">
      <c r="A71" s="3289" t="s">
        <v>2483</v>
      </c>
      <c r="B71" s="2920"/>
      <c r="C71" s="2920"/>
      <c r="D71" s="2920"/>
    </row>
    <row r="72" spans="1:4">
      <c r="A72" s="3289" t="s">
        <v>2407</v>
      </c>
      <c r="B72" s="2920"/>
      <c r="C72" s="2920"/>
      <c r="D72" s="2920"/>
    </row>
    <row r="73" spans="1:4">
      <c r="A73" s="3289" t="s">
        <v>2497</v>
      </c>
      <c r="B73" s="2920"/>
      <c r="C73" s="2920"/>
      <c r="D73" s="2920"/>
    </row>
    <row r="74" spans="1:4">
      <c r="A74" s="3289" t="s">
        <v>2484</v>
      </c>
      <c r="B74" s="2920"/>
      <c r="C74" s="2920"/>
      <c r="D74" s="2920"/>
    </row>
    <row r="75" spans="1:4">
      <c r="A75" s="3289" t="s">
        <v>2498</v>
      </c>
      <c r="B75" s="2920"/>
      <c r="C75" s="2920"/>
      <c r="D75" s="2920"/>
    </row>
    <row r="76" spans="1:4">
      <c r="A76" s="3289" t="s">
        <v>2486</v>
      </c>
      <c r="B76" s="2920"/>
      <c r="C76" s="2920"/>
      <c r="D76" s="2920"/>
    </row>
    <row r="77" spans="1:4">
      <c r="A77" s="3289"/>
      <c r="B77" s="2920"/>
      <c r="C77" s="2920"/>
      <c r="D77" s="2920"/>
    </row>
    <row r="78" spans="1:4" s="3230" customFormat="1">
      <c r="A78" s="3319" t="s">
        <v>2485</v>
      </c>
      <c r="B78" s="2920"/>
      <c r="C78" s="2920"/>
      <c r="D78" s="2920"/>
    </row>
    <row r="79" spans="1:4">
      <c r="A79" s="3289" t="s">
        <v>2499</v>
      </c>
      <c r="B79" s="2920"/>
      <c r="C79" s="2920"/>
      <c r="D79" s="2920"/>
    </row>
    <row r="80" spans="1:4">
      <c r="A80" s="3289" t="s">
        <v>2500</v>
      </c>
      <c r="B80" s="2920"/>
      <c r="C80" s="2920"/>
      <c r="D80" s="2920"/>
    </row>
    <row r="81" spans="1:4">
      <c r="A81" s="3289" t="s">
        <v>2408</v>
      </c>
      <c r="B81" s="2920"/>
      <c r="C81" s="2920"/>
      <c r="D81" s="2920"/>
    </row>
    <row r="82" spans="1:4">
      <c r="A82" s="3289" t="s">
        <v>2501</v>
      </c>
      <c r="B82" s="2920"/>
      <c r="C82" s="2920"/>
      <c r="D82" s="2920"/>
    </row>
    <row r="83" spans="1:4">
      <c r="A83" s="3289" t="s">
        <v>2487</v>
      </c>
      <c r="B83" s="2920"/>
      <c r="C83" s="2920"/>
      <c r="D83" s="2920"/>
    </row>
    <row r="84" spans="1:4">
      <c r="A84" s="3289" t="s">
        <v>2502</v>
      </c>
      <c r="B84" s="2920"/>
      <c r="C84" s="2920"/>
      <c r="D84" s="2920"/>
    </row>
    <row r="85" spans="1:4">
      <c r="A85" s="3289"/>
      <c r="B85" s="2920"/>
      <c r="C85" s="2920"/>
      <c r="D85" s="2920"/>
    </row>
    <row r="86" spans="1:4">
      <c r="A86" s="3289" t="s">
        <v>2488</v>
      </c>
      <c r="B86" s="2920"/>
      <c r="C86" s="2920"/>
      <c r="D86" s="2920"/>
    </row>
    <row r="87" spans="1:4">
      <c r="A87" s="3289" t="s">
        <v>2503</v>
      </c>
      <c r="B87" s="2920"/>
      <c r="C87" s="2920"/>
      <c r="D87" s="2920"/>
    </row>
    <row r="88" spans="1:4">
      <c r="A88" s="3289" t="s">
        <v>2504</v>
      </c>
      <c r="B88" s="2920"/>
      <c r="C88" s="2920"/>
      <c r="D88" s="2920"/>
    </row>
    <row r="89" spans="1:4">
      <c r="A89" s="3289" t="s">
        <v>2505</v>
      </c>
      <c r="B89" s="2920"/>
      <c r="C89" s="2920"/>
      <c r="D89" s="2920"/>
    </row>
    <row r="90" spans="1:4">
      <c r="A90" s="3289" t="s">
        <v>2506</v>
      </c>
      <c r="B90" s="2920"/>
      <c r="C90" s="2920"/>
      <c r="D90" s="2920"/>
    </row>
    <row r="91" spans="1:4">
      <c r="A91" s="3289" t="s">
        <v>2490</v>
      </c>
      <c r="B91" s="2920"/>
      <c r="C91" s="2920"/>
      <c r="D91" s="2920"/>
    </row>
    <row r="92" spans="1:4">
      <c r="A92" s="3289" t="s">
        <v>2481</v>
      </c>
      <c r="B92" s="2920"/>
      <c r="C92" s="2920"/>
      <c r="D92" s="2920"/>
    </row>
    <row r="93" spans="1:4">
      <c r="A93" s="3289" t="s">
        <v>2489</v>
      </c>
      <c r="B93" s="2920"/>
      <c r="C93" s="2920"/>
      <c r="D93" s="2920"/>
    </row>
    <row r="94" spans="1:4">
      <c r="A94" s="3289" t="s">
        <v>2469</v>
      </c>
      <c r="B94" s="2920"/>
      <c r="C94" s="2920"/>
      <c r="D94" s="2920"/>
    </row>
    <row r="95" spans="1:4">
      <c r="A95" s="3289"/>
      <c r="B95" s="2920"/>
      <c r="C95" s="2920"/>
      <c r="D95" s="2920"/>
    </row>
    <row r="96" spans="1:4">
      <c r="A96" s="3319" t="s">
        <v>2491</v>
      </c>
      <c r="B96" s="2920"/>
      <c r="C96" s="2920"/>
      <c r="D96" s="2920"/>
    </row>
    <row r="97" spans="1:4">
      <c r="A97" s="3289" t="s">
        <v>2507</v>
      </c>
      <c r="B97" s="2920"/>
      <c r="C97" s="2920"/>
      <c r="D97" s="2920"/>
    </row>
    <row r="98" spans="1:4">
      <c r="A98" s="3289" t="s">
        <v>2508</v>
      </c>
      <c r="B98" s="2920"/>
      <c r="C98" s="2920"/>
      <c r="D98" s="2920"/>
    </row>
    <row r="99" spans="1:4">
      <c r="A99" s="3289" t="s">
        <v>2509</v>
      </c>
      <c r="B99" s="2920"/>
      <c r="C99" s="2920"/>
      <c r="D99" s="2920"/>
    </row>
    <row r="100" spans="1:4">
      <c r="A100" s="3289" t="s">
        <v>2510</v>
      </c>
      <c r="B100" s="2920"/>
      <c r="C100" s="2920"/>
      <c r="D100" s="2920"/>
    </row>
    <row r="101" spans="1:4">
      <c r="A101" s="3289" t="s">
        <v>2511</v>
      </c>
      <c r="B101" s="2920"/>
      <c r="C101" s="2920"/>
      <c r="D101" s="2920"/>
    </row>
    <row r="102" spans="1:4">
      <c r="A102" s="3289" t="s">
        <v>2590</v>
      </c>
      <c r="B102" s="2920"/>
      <c r="C102" s="2920"/>
      <c r="D102" s="2920"/>
    </row>
    <row r="103" spans="1:4">
      <c r="A103" s="3289" t="s">
        <v>2496</v>
      </c>
      <c r="B103" s="2920"/>
      <c r="C103" s="2920"/>
      <c r="D103" s="2920"/>
    </row>
    <row r="104" spans="1:4">
      <c r="A104" s="3289" t="s">
        <v>2357</v>
      </c>
      <c r="B104" s="2920"/>
      <c r="C104" s="2920"/>
      <c r="D104" s="2920"/>
    </row>
    <row r="105" spans="1:4">
      <c r="A105" s="3289"/>
      <c r="B105" s="2920"/>
      <c r="C105" s="2920"/>
      <c r="D105" s="2920"/>
    </row>
    <row r="106" spans="1:4">
      <c r="A106" s="3319" t="s">
        <v>2492</v>
      </c>
      <c r="B106" s="2920"/>
      <c r="C106" s="2920"/>
      <c r="D106" s="2920"/>
    </row>
    <row r="107" spans="1:4">
      <c r="A107" s="3289" t="s">
        <v>2512</v>
      </c>
      <c r="B107" s="2920"/>
      <c r="C107" s="2920"/>
      <c r="D107" s="2920"/>
    </row>
    <row r="108" spans="1:4">
      <c r="A108" s="3289" t="s">
        <v>2513</v>
      </c>
      <c r="B108" s="2920"/>
      <c r="C108" s="2920"/>
      <c r="D108" s="2920"/>
    </row>
    <row r="109" spans="1:4">
      <c r="A109" s="3289" t="s">
        <v>2495</v>
      </c>
      <c r="B109" s="2920"/>
      <c r="C109" s="2920"/>
      <c r="D109" s="2920"/>
    </row>
    <row r="110" spans="1:4">
      <c r="A110" s="3289" t="s">
        <v>2520</v>
      </c>
      <c r="B110" s="2920"/>
      <c r="C110" s="2920"/>
      <c r="D110" s="2920"/>
    </row>
    <row r="111" spans="1:4">
      <c r="A111" s="3289" t="s">
        <v>2514</v>
      </c>
      <c r="B111" s="2920"/>
      <c r="C111" s="2920"/>
      <c r="D111" s="2920"/>
    </row>
    <row r="112" spans="1:4">
      <c r="A112" s="3289"/>
      <c r="B112" s="2920"/>
      <c r="C112" s="2920"/>
      <c r="D112" s="2920"/>
    </row>
    <row r="113" spans="1:4">
      <c r="A113" s="3319" t="s">
        <v>2493</v>
      </c>
      <c r="B113" s="2920"/>
      <c r="C113" s="2920"/>
      <c r="D113" s="2920"/>
    </row>
    <row r="114" spans="1:4">
      <c r="A114" s="3289" t="s">
        <v>2358</v>
      </c>
      <c r="B114" s="2920"/>
      <c r="C114" s="2920"/>
      <c r="D114" s="2920"/>
    </row>
    <row r="115" spans="1:4">
      <c r="A115" s="3289" t="s">
        <v>2409</v>
      </c>
      <c r="B115" s="2920"/>
      <c r="C115" s="2920"/>
      <c r="D115" s="2920"/>
    </row>
    <row r="116" spans="1:4">
      <c r="A116" s="3289" t="s">
        <v>2494</v>
      </c>
      <c r="B116" s="2920"/>
      <c r="C116" s="2920"/>
      <c r="D116" s="2920"/>
    </row>
    <row r="117" spans="1:4">
      <c r="A117" s="3289" t="s">
        <v>2517</v>
      </c>
      <c r="B117" s="2920"/>
      <c r="C117" s="2920"/>
      <c r="D117" s="2920"/>
    </row>
    <row r="118" spans="1:4">
      <c r="A118" s="3289" t="s">
        <v>2519</v>
      </c>
      <c r="B118" s="2920"/>
      <c r="C118" s="2920"/>
      <c r="D118" s="2920"/>
    </row>
    <row r="119" spans="1:4">
      <c r="A119" s="3289" t="s">
        <v>2515</v>
      </c>
      <c r="B119" s="2920"/>
      <c r="C119" s="2920"/>
      <c r="D119" s="2920"/>
    </row>
    <row r="120" spans="1:4">
      <c r="A120" s="3289"/>
      <c r="B120" s="2920"/>
      <c r="C120" s="2920"/>
      <c r="D120" s="2920"/>
    </row>
    <row r="121" spans="1:4">
      <c r="A121" s="3319" t="s">
        <v>2516</v>
      </c>
      <c r="B121" s="2920"/>
      <c r="C121" s="2920"/>
      <c r="D121" s="2920"/>
    </row>
    <row r="122" spans="1:4">
      <c r="A122" s="3289" t="s">
        <v>2518</v>
      </c>
      <c r="B122" s="2920"/>
      <c r="C122" s="2920"/>
      <c r="D122" s="2920"/>
    </row>
    <row r="123" spans="1:4">
      <c r="A123" s="3289" t="s">
        <v>2448</v>
      </c>
      <c r="B123" s="2920"/>
      <c r="C123" s="2920"/>
      <c r="D123" s="2920"/>
    </row>
    <row r="124" spans="1:4">
      <c r="A124" s="3289" t="s">
        <v>2525</v>
      </c>
      <c r="B124" s="2920"/>
      <c r="C124" s="2920"/>
      <c r="D124" s="2920"/>
    </row>
    <row r="125" spans="1:4">
      <c r="A125" s="3289" t="s">
        <v>2521</v>
      </c>
      <c r="B125" s="2920"/>
      <c r="C125" s="2920"/>
      <c r="D125" s="2920"/>
    </row>
    <row r="126" spans="1:4">
      <c r="A126" s="3289"/>
      <c r="B126" s="2920"/>
      <c r="C126" s="2920"/>
      <c r="D126" s="2920"/>
    </row>
    <row r="127" spans="1:4">
      <c r="A127" s="3319" t="s">
        <v>2522</v>
      </c>
      <c r="B127" s="2920"/>
      <c r="C127" s="2920"/>
      <c r="D127" s="2920"/>
    </row>
    <row r="128" spans="1:4">
      <c r="A128" s="3289" t="s">
        <v>2523</v>
      </c>
      <c r="B128" s="2920"/>
      <c r="C128" s="2920"/>
      <c r="D128" s="2920"/>
    </row>
    <row r="129" spans="1:4">
      <c r="A129" s="3289" t="s">
        <v>2526</v>
      </c>
      <c r="B129" s="2920"/>
      <c r="C129" s="2920"/>
      <c r="D129" s="2920"/>
    </row>
    <row r="130" spans="1:4">
      <c r="A130" s="3289" t="s">
        <v>2535</v>
      </c>
      <c r="B130" s="2920"/>
      <c r="C130" s="2920"/>
      <c r="D130" s="2920"/>
    </row>
    <row r="131" spans="1:4">
      <c r="A131" s="3289" t="s">
        <v>2527</v>
      </c>
      <c r="B131" s="2920"/>
      <c r="C131" s="2920"/>
      <c r="D131" s="2920"/>
    </row>
    <row r="132" spans="1:4">
      <c r="A132" s="3289" t="s">
        <v>2528</v>
      </c>
      <c r="B132" s="2920"/>
      <c r="C132" s="2920"/>
      <c r="D132" s="2920"/>
    </row>
    <row r="133" spans="1:4">
      <c r="A133" s="3289"/>
      <c r="B133" s="2920"/>
      <c r="C133" s="2920"/>
      <c r="D133" s="2920"/>
    </row>
    <row r="134" spans="1:4">
      <c r="A134" s="3319" t="s">
        <v>2524</v>
      </c>
      <c r="B134" s="2920"/>
      <c r="C134" s="2920"/>
      <c r="D134" s="2920"/>
    </row>
    <row r="135" spans="1:4">
      <c r="A135" s="3289" t="s">
        <v>2531</v>
      </c>
      <c r="B135" s="2920"/>
      <c r="C135" s="2920"/>
      <c r="D135" s="2920"/>
    </row>
    <row r="136" spans="1:4">
      <c r="A136" s="3289" t="s">
        <v>2529</v>
      </c>
      <c r="B136" s="2920"/>
      <c r="C136" s="2920"/>
      <c r="D136" s="2920"/>
    </row>
    <row r="137" spans="1:4">
      <c r="A137" s="3289" t="s">
        <v>2532</v>
      </c>
      <c r="B137" s="2920"/>
      <c r="C137" s="2920"/>
      <c r="D137" s="2920"/>
    </row>
    <row r="138" spans="1:4">
      <c r="A138" s="3289" t="s">
        <v>2533</v>
      </c>
      <c r="B138" s="2920"/>
      <c r="C138" s="2920"/>
      <c r="D138" s="2920"/>
    </row>
    <row r="139" spans="1:4">
      <c r="A139" s="3289" t="s">
        <v>2536</v>
      </c>
      <c r="B139" s="2920"/>
      <c r="C139" s="2920"/>
      <c r="D139" s="2920"/>
    </row>
    <row r="140" spans="1:4">
      <c r="A140" s="3289" t="s">
        <v>2530</v>
      </c>
      <c r="B140" s="2920"/>
      <c r="C140" s="2920"/>
      <c r="D140" s="2920"/>
    </row>
    <row r="141" spans="1:4">
      <c r="A141" s="3289"/>
      <c r="B141" s="2920"/>
      <c r="C141" s="2920"/>
      <c r="D141" s="2920"/>
    </row>
    <row r="142" spans="1:4">
      <c r="A142" s="3319" t="s">
        <v>2534</v>
      </c>
      <c r="B142" s="2920"/>
      <c r="C142" s="2920"/>
      <c r="D142" s="2920"/>
    </row>
    <row r="143" spans="1:4">
      <c r="A143" s="3289" t="s">
        <v>2359</v>
      </c>
      <c r="B143" s="2920"/>
      <c r="C143" s="2920"/>
      <c r="D143" s="2920"/>
    </row>
    <row r="144" spans="1:4">
      <c r="A144" s="3289" t="s">
        <v>2360</v>
      </c>
      <c r="B144" s="2920"/>
      <c r="C144" s="2920"/>
      <c r="D144" s="2920"/>
    </row>
    <row r="145" spans="1:4">
      <c r="A145" s="3289" t="s">
        <v>2361</v>
      </c>
      <c r="B145" s="2920"/>
      <c r="C145" s="2920"/>
      <c r="D145" s="2920"/>
    </row>
    <row r="146" spans="1:4">
      <c r="A146" s="3289" t="s">
        <v>2587</v>
      </c>
      <c r="B146" s="2920"/>
      <c r="C146" s="2920"/>
      <c r="D146" s="2920"/>
    </row>
    <row r="147" spans="1:4">
      <c r="A147" s="3289" t="s">
        <v>2537</v>
      </c>
      <c r="B147" s="2920"/>
      <c r="C147" s="2920"/>
      <c r="D147" s="2920"/>
    </row>
    <row r="148" spans="1:4">
      <c r="A148" s="3289" t="s">
        <v>2362</v>
      </c>
      <c r="B148" s="2920"/>
      <c r="C148" s="2920"/>
      <c r="D148" s="2920"/>
    </row>
    <row r="149" spans="1:4">
      <c r="A149" s="3289" t="s">
        <v>2363</v>
      </c>
      <c r="B149" s="2920"/>
      <c r="C149" s="2920"/>
      <c r="D149" s="2920"/>
    </row>
    <row r="150" spans="1:4">
      <c r="A150" s="3289" t="s">
        <v>2541</v>
      </c>
      <c r="B150" s="2920"/>
      <c r="C150" s="2920"/>
      <c r="D150" s="2920"/>
    </row>
    <row r="151" spans="1:4">
      <c r="A151" s="3289" t="s">
        <v>2364</v>
      </c>
      <c r="B151" s="2920"/>
      <c r="C151" s="2920"/>
      <c r="D151" s="2920"/>
    </row>
    <row r="152" spans="1:4">
      <c r="A152" s="3289" t="s">
        <v>2459</v>
      </c>
      <c r="B152" s="2920"/>
      <c r="C152" s="2920"/>
      <c r="D152" s="2920"/>
    </row>
    <row r="153" spans="1:4">
      <c r="A153" s="3289" t="s">
        <v>2458</v>
      </c>
      <c r="B153" s="2920"/>
      <c r="C153" s="2920"/>
      <c r="D153" s="2920"/>
    </row>
    <row r="154" spans="1:4">
      <c r="A154" s="3289" t="s">
        <v>2540</v>
      </c>
      <c r="B154" s="2920"/>
      <c r="C154" s="2920"/>
      <c r="D154" s="2920"/>
    </row>
    <row r="155" spans="1:4">
      <c r="A155" s="3289" t="s">
        <v>2542</v>
      </c>
      <c r="B155" s="2920"/>
      <c r="C155" s="2920"/>
      <c r="D155" s="2920"/>
    </row>
    <row r="156" spans="1:4">
      <c r="A156" s="3289" t="s">
        <v>2544</v>
      </c>
      <c r="B156" s="2920"/>
      <c r="C156" s="2920"/>
      <c r="D156" s="2920"/>
    </row>
    <row r="157" spans="1:4">
      <c r="A157" s="3289" t="s">
        <v>2539</v>
      </c>
      <c r="B157" s="2920"/>
      <c r="C157" s="2920"/>
      <c r="D157" s="2920"/>
    </row>
    <row r="158" spans="1:4">
      <c r="A158" s="3289" t="s">
        <v>2538</v>
      </c>
      <c r="B158" s="2920"/>
      <c r="C158" s="2920"/>
      <c r="D158" s="2920"/>
    </row>
    <row r="159" spans="1:4">
      <c r="A159" s="3310" t="s">
        <v>2543</v>
      </c>
      <c r="B159" s="3229" t="s">
        <v>2365</v>
      </c>
      <c r="C159" s="2920"/>
      <c r="D159" s="2920"/>
    </row>
    <row r="160" spans="1:4">
      <c r="A160" s="3289" t="s">
        <v>2366</v>
      </c>
      <c r="B160" s="2920"/>
      <c r="C160" s="2920"/>
      <c r="D160" s="2920"/>
    </row>
    <row r="161" spans="1:4">
      <c r="A161" s="3289" t="s">
        <v>2545</v>
      </c>
      <c r="B161" s="2920"/>
      <c r="C161" s="2920"/>
      <c r="D161" s="2920"/>
    </row>
    <row r="162" spans="1:4">
      <c r="A162" s="3289"/>
      <c r="B162" s="2920"/>
      <c r="C162" s="2920"/>
      <c r="D162" s="2920"/>
    </row>
    <row r="163" spans="1:4">
      <c r="A163" s="3289"/>
      <c r="B163" s="2920"/>
      <c r="C163" s="2920"/>
      <c r="D163" s="2920"/>
    </row>
    <row r="164" spans="1:4">
      <c r="A164" s="3319" t="s">
        <v>2588</v>
      </c>
      <c r="B164" s="2920"/>
      <c r="C164" s="2920"/>
      <c r="D164" s="2920"/>
    </row>
    <row r="165" spans="1:4">
      <c r="A165" s="3289" t="s">
        <v>2546</v>
      </c>
      <c r="B165" s="2920"/>
      <c r="C165" s="2920"/>
      <c r="D165" s="2920"/>
    </row>
    <row r="166" spans="1:4">
      <c r="A166" s="3289" t="s">
        <v>2589</v>
      </c>
      <c r="B166" s="2920"/>
      <c r="C166" s="2920"/>
      <c r="D166" s="2920"/>
    </row>
    <row r="167" spans="1:4">
      <c r="A167" s="3289"/>
      <c r="B167" s="2920"/>
      <c r="C167" s="2920"/>
      <c r="D167" s="2920"/>
    </row>
    <row r="168" spans="1:4">
      <c r="A168" s="2874"/>
      <c r="B168" s="2920"/>
      <c r="C168" s="2920"/>
      <c r="D168" s="2920"/>
    </row>
    <row r="169" spans="1:4">
      <c r="A169" s="2874"/>
      <c r="B169" s="2920"/>
      <c r="C169" s="2920"/>
      <c r="D169" s="2920"/>
    </row>
    <row r="170" spans="1:4" ht="26.4">
      <c r="A170" s="2918" t="s">
        <v>2411</v>
      </c>
      <c r="B170" s="3260" t="str">
        <f>CONCATENATE(Shana," - באלפי ש""ח")</f>
        <v>2015 - באלפי ש"ח</v>
      </c>
      <c r="C170" s="3260" t="str">
        <f>CONCATENATE(ShanaKodemet," - באלפי ש""ח")</f>
        <v>2014 - באלפי ש"ח</v>
      </c>
      <c r="D170" s="2920"/>
    </row>
    <row r="171" spans="1:4">
      <c r="A171" s="2874" t="s">
        <v>2174</v>
      </c>
      <c r="B171" s="2920"/>
      <c r="C171" s="2920"/>
      <c r="D171" s="2920"/>
    </row>
    <row r="172" spans="1:4">
      <c r="A172" s="2874"/>
      <c r="B172" s="2920"/>
      <c r="C172" s="2920"/>
      <c r="D172" s="2920"/>
    </row>
    <row r="173" spans="1:4">
      <c r="A173" s="3227" t="s">
        <v>2433</v>
      </c>
      <c r="B173" s="2920">
        <v>946</v>
      </c>
      <c r="C173" s="2920">
        <v>1736</v>
      </c>
      <c r="D173" s="2920"/>
    </row>
    <row r="174" spans="1:4">
      <c r="A174" s="3227" t="s">
        <v>2434</v>
      </c>
      <c r="B174" s="2920">
        <v>633</v>
      </c>
      <c r="C174" s="2920"/>
      <c r="D174" s="2920"/>
    </row>
    <row r="175" spans="1:4">
      <c r="A175" s="3227" t="s">
        <v>2435</v>
      </c>
      <c r="B175" s="2920">
        <v>459</v>
      </c>
      <c r="C175" s="2920"/>
      <c r="D175" s="2920"/>
    </row>
    <row r="176" spans="1:4">
      <c r="A176" s="3227" t="s">
        <v>2438</v>
      </c>
      <c r="B176" s="2920">
        <v>247</v>
      </c>
      <c r="C176" s="2920">
        <v>221</v>
      </c>
      <c r="D176" s="2920"/>
    </row>
    <row r="177" spans="1:4">
      <c r="A177" s="3227" t="s">
        <v>2436</v>
      </c>
      <c r="B177" s="2920">
        <v>232</v>
      </c>
      <c r="C177" s="2920"/>
      <c r="D177" s="2920"/>
    </row>
    <row r="178" spans="1:4">
      <c r="A178" s="3227" t="s">
        <v>2439</v>
      </c>
      <c r="B178" s="2920">
        <v>200</v>
      </c>
      <c r="C178" s="2920">
        <v>400</v>
      </c>
      <c r="D178" s="2920"/>
    </row>
    <row r="179" spans="1:4">
      <c r="A179" s="3227" t="s">
        <v>2566</v>
      </c>
      <c r="B179" s="2920"/>
      <c r="C179" s="2920">
        <v>800</v>
      </c>
      <c r="D179" s="2920"/>
    </row>
    <row r="180" spans="1:4">
      <c r="A180" s="3227" t="s">
        <v>2444</v>
      </c>
      <c r="B180" s="2920"/>
      <c r="C180" s="2920">
        <v>351</v>
      </c>
      <c r="D180" s="2920"/>
    </row>
    <row r="181" spans="1:4">
      <c r="A181" s="3227" t="s">
        <v>2437</v>
      </c>
      <c r="B181" s="2920">
        <v>606</v>
      </c>
      <c r="C181" s="2920">
        <v>1500</v>
      </c>
      <c r="D181" s="2920"/>
    </row>
    <row r="182" spans="1:4">
      <c r="A182" s="2874"/>
      <c r="B182" s="2920"/>
      <c r="C182" s="2920"/>
      <c r="D182" s="2920"/>
    </row>
    <row r="183" spans="1:4" ht="13.8" thickBot="1">
      <c r="A183" s="2874"/>
      <c r="B183" s="3259">
        <f>SUM(B171:B182)</f>
        <v>3323</v>
      </c>
      <c r="C183" s="3259">
        <f>SUM(C173:C181)</f>
        <v>5008</v>
      </c>
      <c r="D183" s="2920"/>
    </row>
    <row r="184" spans="1:4" ht="13.8" thickTop="1">
      <c r="A184" s="2874"/>
      <c r="B184" s="2920"/>
      <c r="C184" s="2920"/>
      <c r="D184" s="2920"/>
    </row>
    <row r="185" spans="1:4">
      <c r="A185" s="2874"/>
      <c r="B185" s="2920"/>
      <c r="C185" s="2920"/>
      <c r="D185" s="2920"/>
    </row>
    <row r="186" spans="1:4" ht="26.4">
      <c r="A186" s="2918" t="s">
        <v>2412</v>
      </c>
      <c r="B186" s="3260" t="str">
        <f>CONCATENATE(Shana," - באלפי ש""ח")</f>
        <v>2015 - באלפי ש"ח</v>
      </c>
      <c r="C186" s="3260" t="str">
        <f>CONCATENATE(ShanaKodemet," - באלפי ש""ח")</f>
        <v>2014 - באלפי ש"ח</v>
      </c>
      <c r="D186" s="2920"/>
    </row>
    <row r="187" spans="1:4">
      <c r="A187" s="2874" t="s">
        <v>2174</v>
      </c>
      <c r="B187" s="2920"/>
      <c r="C187" s="2920"/>
      <c r="D187" s="2920"/>
    </row>
    <row r="188" spans="1:4">
      <c r="A188" s="2874"/>
      <c r="B188" s="2920"/>
      <c r="C188" s="2920"/>
      <c r="D188" s="2920"/>
    </row>
    <row r="189" spans="1:4">
      <c r="A189" s="2874"/>
      <c r="B189" s="2920"/>
      <c r="C189" s="2920"/>
      <c r="D189" s="2920"/>
    </row>
    <row r="190" spans="1:4">
      <c r="A190" s="3227" t="s">
        <v>2440</v>
      </c>
      <c r="B190" s="2920">
        <v>2000</v>
      </c>
      <c r="C190" s="2920">
        <v>1500</v>
      </c>
      <c r="D190" s="2920"/>
    </row>
    <row r="191" spans="1:4">
      <c r="A191" s="3227" t="s">
        <v>2441</v>
      </c>
      <c r="B191" s="2920">
        <v>249</v>
      </c>
      <c r="C191" s="2920"/>
      <c r="D191" s="2920"/>
    </row>
    <row r="192" spans="1:4">
      <c r="A192" s="3227" t="s">
        <v>2442</v>
      </c>
      <c r="B192" s="2920">
        <v>146</v>
      </c>
      <c r="C192" s="2920"/>
      <c r="D192" s="2920"/>
    </row>
    <row r="193" spans="1:4">
      <c r="A193" s="3227" t="s">
        <v>2443</v>
      </c>
      <c r="B193" s="2920">
        <v>137</v>
      </c>
      <c r="C193" s="2920">
        <v>133</v>
      </c>
      <c r="D193" s="2920"/>
    </row>
    <row r="194" spans="1:4">
      <c r="A194" s="3227" t="s">
        <v>2667</v>
      </c>
      <c r="B194" s="2920">
        <v>137</v>
      </c>
      <c r="C194" s="2920"/>
      <c r="D194" s="2920"/>
    </row>
    <row r="195" spans="1:4">
      <c r="A195" s="3227" t="s">
        <v>2444</v>
      </c>
      <c r="B195" s="2920">
        <v>117</v>
      </c>
      <c r="C195" s="2920"/>
      <c r="D195" s="2920"/>
    </row>
    <row r="196" spans="1:4">
      <c r="A196" s="3227" t="s">
        <v>2445</v>
      </c>
      <c r="B196" s="2920">
        <v>100</v>
      </c>
      <c r="C196" s="2920"/>
      <c r="D196" s="2920"/>
    </row>
    <row r="197" spans="1:4">
      <c r="A197" s="3227" t="s">
        <v>2567</v>
      </c>
      <c r="B197" s="2920"/>
      <c r="C197" s="2920">
        <v>872</v>
      </c>
      <c r="D197" s="2920"/>
    </row>
    <row r="198" spans="1:4">
      <c r="A198" s="3227" t="s">
        <v>2437</v>
      </c>
      <c r="B198" s="2920">
        <v>789</v>
      </c>
      <c r="C198" s="2920">
        <v>506</v>
      </c>
      <c r="D198" s="2920"/>
    </row>
    <row r="199" spans="1:4">
      <c r="A199" s="2874"/>
      <c r="B199" s="2920"/>
      <c r="C199" s="2920"/>
      <c r="D199" s="2920"/>
    </row>
    <row r="200" spans="1:4" ht="13.8" thickBot="1">
      <c r="A200" s="2874"/>
      <c r="B200" s="3259">
        <f>SUM(B187:B199)</f>
        <v>3675</v>
      </c>
      <c r="C200" s="3259">
        <f>SUM(C187:C199)</f>
        <v>3011</v>
      </c>
      <c r="D200" s="2920"/>
    </row>
    <row r="201" spans="1:4" ht="13.8" thickTop="1">
      <c r="A201" s="2874"/>
      <c r="B201" s="2920"/>
      <c r="C201" s="2920"/>
      <c r="D201" s="2920"/>
    </row>
    <row r="202" spans="1:4">
      <c r="A202" s="2874"/>
      <c r="B202" s="2920"/>
      <c r="C202" s="2920"/>
      <c r="D202" s="2920"/>
    </row>
    <row r="203" spans="1:4">
      <c r="A203" s="2918" t="s">
        <v>2413</v>
      </c>
      <c r="B203" s="2920"/>
      <c r="C203" s="2920"/>
      <c r="D203" s="2920"/>
    </row>
    <row r="204" spans="1:4">
      <c r="A204" s="3229"/>
      <c r="B204" s="2920"/>
      <c r="C204" s="2920"/>
      <c r="D204" s="2920"/>
    </row>
    <row r="205" spans="1:4">
      <c r="A205" s="3229" t="s">
        <v>2605</v>
      </c>
      <c r="B205" s="3149"/>
      <c r="C205" s="3149"/>
      <c r="D205" s="3149"/>
    </row>
    <row r="206" spans="1:4">
      <c r="A206" s="3229"/>
      <c r="B206" s="3149"/>
      <c r="C206" s="3149"/>
      <c r="D206" s="3149"/>
    </row>
    <row r="207" spans="1:4">
      <c r="A207" s="3229"/>
      <c r="B207" s="3149"/>
      <c r="C207" s="3149"/>
      <c r="D207" s="3149"/>
    </row>
    <row r="208" spans="1:4">
      <c r="A208" s="3229"/>
      <c r="B208" s="3149"/>
      <c r="C208" s="3149"/>
      <c r="D208" s="3149"/>
    </row>
    <row r="209" spans="1:4">
      <c r="A209" s="3149" t="s">
        <v>2603</v>
      </c>
      <c r="B209" s="3149" t="s">
        <v>2606</v>
      </c>
      <c r="C209" s="3149" t="s">
        <v>2602</v>
      </c>
      <c r="D209" s="3149" t="s">
        <v>2604</v>
      </c>
    </row>
    <row r="210" spans="1:4">
      <c r="A210" s="3229"/>
      <c r="B210" s="3149"/>
      <c r="C210" s="3149"/>
      <c r="D210" s="3149"/>
    </row>
    <row r="211" spans="1:4" ht="26.4">
      <c r="A211" s="3326" t="s">
        <v>2608</v>
      </c>
      <c r="B211" s="3326" t="s">
        <v>2611</v>
      </c>
      <c r="C211" s="3229" t="s">
        <v>2607</v>
      </c>
      <c r="D211" s="3229">
        <v>20</v>
      </c>
    </row>
    <row r="212" spans="1:4" ht="26.4">
      <c r="A212" s="3326" t="s">
        <v>2612</v>
      </c>
      <c r="B212" s="3326" t="s">
        <v>2610</v>
      </c>
      <c r="C212" s="3229" t="s">
        <v>2609</v>
      </c>
      <c r="D212" s="3229">
        <v>99</v>
      </c>
    </row>
    <row r="213" spans="1:4" ht="26.4">
      <c r="A213" s="3326" t="s">
        <v>2615</v>
      </c>
      <c r="B213" s="3326" t="s">
        <v>2614</v>
      </c>
      <c r="C213" s="3229" t="s">
        <v>2613</v>
      </c>
      <c r="D213" s="3229">
        <v>99</v>
      </c>
    </row>
    <row r="214" spans="1:4" ht="26.4">
      <c r="A214" s="3326" t="s">
        <v>2618</v>
      </c>
      <c r="B214" s="3326" t="s">
        <v>2617</v>
      </c>
      <c r="C214" s="3229" t="s">
        <v>2616</v>
      </c>
      <c r="D214" s="3229">
        <v>99</v>
      </c>
    </row>
    <row r="215" spans="1:4" ht="26.4">
      <c r="A215" s="3326" t="s">
        <v>2620</v>
      </c>
      <c r="B215" s="3326" t="s">
        <v>2610</v>
      </c>
      <c r="C215" s="3229" t="s">
        <v>2619</v>
      </c>
      <c r="D215" s="3229">
        <v>99</v>
      </c>
    </row>
    <row r="216" spans="1:4" ht="26.4">
      <c r="A216" s="3326" t="s">
        <v>2623</v>
      </c>
      <c r="B216" s="3326" t="s">
        <v>2622</v>
      </c>
      <c r="C216" s="3229" t="s">
        <v>2621</v>
      </c>
      <c r="D216" s="3229">
        <v>22</v>
      </c>
    </row>
    <row r="217" spans="1:4" ht="26.4">
      <c r="A217" s="3326" t="s">
        <v>2625</v>
      </c>
      <c r="B217" s="3326" t="s">
        <v>2610</v>
      </c>
      <c r="C217" s="3229" t="s">
        <v>2624</v>
      </c>
      <c r="D217" s="3229">
        <v>99</v>
      </c>
    </row>
    <row r="218" spans="1:4" ht="26.4">
      <c r="A218" s="3326" t="s">
        <v>2627</v>
      </c>
      <c r="B218" s="3326" t="s">
        <v>2614</v>
      </c>
      <c r="C218" s="3229" t="s">
        <v>2626</v>
      </c>
      <c r="D218" s="3229">
        <v>15</v>
      </c>
    </row>
    <row r="219" spans="1:4" ht="26.4">
      <c r="A219" s="3326" t="s">
        <v>2629</v>
      </c>
      <c r="B219" s="3326" t="s">
        <v>2611</v>
      </c>
      <c r="C219" s="3229" t="s">
        <v>2628</v>
      </c>
      <c r="D219" s="3229">
        <v>20</v>
      </c>
    </row>
    <row r="220" spans="1:4" ht="26.4">
      <c r="A220" s="3326" t="s">
        <v>2631</v>
      </c>
      <c r="B220" s="3326" t="s">
        <v>2622</v>
      </c>
      <c r="C220" s="3229" t="s">
        <v>2630</v>
      </c>
      <c r="D220" s="3229">
        <v>22</v>
      </c>
    </row>
    <row r="221" spans="1:4" ht="26.4">
      <c r="A221" s="3326" t="s">
        <v>2634</v>
      </c>
      <c r="B221" s="3326" t="s">
        <v>2632</v>
      </c>
      <c r="C221" s="3229" t="s">
        <v>2633</v>
      </c>
      <c r="D221" s="3229">
        <v>20</v>
      </c>
    </row>
    <row r="222" spans="1:4" ht="26.4">
      <c r="A222" s="3326" t="s">
        <v>2636</v>
      </c>
      <c r="B222" s="3326" t="s">
        <v>2614</v>
      </c>
      <c r="C222" s="3229" t="s">
        <v>2635</v>
      </c>
      <c r="D222" s="3229">
        <v>15</v>
      </c>
    </row>
    <row r="223" spans="1:4" ht="26.4">
      <c r="A223" s="3326" t="s">
        <v>2638</v>
      </c>
      <c r="B223" s="3326" t="s">
        <v>2611</v>
      </c>
      <c r="C223" s="3229" t="s">
        <v>2637</v>
      </c>
      <c r="D223" s="3229">
        <v>16</v>
      </c>
    </row>
    <row r="224" spans="1:4" ht="26.4">
      <c r="A224" s="3326" t="s">
        <v>2640</v>
      </c>
      <c r="B224" s="3326" t="s">
        <v>2622</v>
      </c>
      <c r="C224" s="3229" t="s">
        <v>2639</v>
      </c>
      <c r="D224" s="3229">
        <v>25</v>
      </c>
    </row>
    <row r="225" spans="1:4" ht="26.4">
      <c r="A225" s="3326" t="s">
        <v>2642</v>
      </c>
      <c r="B225" s="3326" t="s">
        <v>2610</v>
      </c>
      <c r="C225" s="3229" t="s">
        <v>2641</v>
      </c>
      <c r="D225" s="3229">
        <v>99</v>
      </c>
    </row>
    <row r="226" spans="1:4" ht="26.4">
      <c r="A226" s="3326" t="s">
        <v>2644</v>
      </c>
      <c r="B226" s="3326" t="s">
        <v>2610</v>
      </c>
      <c r="C226" s="3229" t="s">
        <v>2643</v>
      </c>
      <c r="D226" s="3229">
        <v>99</v>
      </c>
    </row>
    <row r="227" spans="1:4" ht="26.4">
      <c r="A227" s="3326" t="s">
        <v>2646</v>
      </c>
      <c r="B227" s="3326" t="s">
        <v>2611</v>
      </c>
      <c r="C227" s="3229" t="s">
        <v>2645</v>
      </c>
      <c r="D227" s="3229">
        <v>16</v>
      </c>
    </row>
    <row r="228" spans="1:4" ht="26.4">
      <c r="A228" s="3326" t="s">
        <v>2646</v>
      </c>
      <c r="B228" s="3326" t="s">
        <v>2611</v>
      </c>
      <c r="C228" s="3229" t="s">
        <v>2645</v>
      </c>
      <c r="D228" s="3229">
        <v>16</v>
      </c>
    </row>
    <row r="229" spans="1:4" ht="26.4">
      <c r="A229" s="3326" t="s">
        <v>2648</v>
      </c>
      <c r="B229" s="3326" t="s">
        <v>2610</v>
      </c>
      <c r="C229" s="3229" t="s">
        <v>2647</v>
      </c>
      <c r="D229" s="3229">
        <v>99</v>
      </c>
    </row>
    <row r="230" spans="1:4">
      <c r="A230" s="3326" t="s">
        <v>2651</v>
      </c>
      <c r="B230" s="3326" t="s">
        <v>2650</v>
      </c>
      <c r="C230" s="3229" t="s">
        <v>2649</v>
      </c>
      <c r="D230" s="3229">
        <v>99</v>
      </c>
    </row>
    <row r="231" spans="1:4">
      <c r="A231" s="3326" t="s">
        <v>2653</v>
      </c>
      <c r="B231" s="3326" t="s">
        <v>2650</v>
      </c>
      <c r="C231" s="3229" t="s">
        <v>2652</v>
      </c>
      <c r="D231" s="3229">
        <v>99</v>
      </c>
    </row>
    <row r="232" spans="1:4" ht="26.4">
      <c r="A232" s="3326" t="s">
        <v>2655</v>
      </c>
      <c r="B232" s="3326" t="s">
        <v>2611</v>
      </c>
      <c r="C232" s="3229" t="s">
        <v>2654</v>
      </c>
      <c r="D232" s="3229">
        <v>17</v>
      </c>
    </row>
    <row r="233" spans="1:4">
      <c r="A233" s="3326" t="s">
        <v>2657</v>
      </c>
      <c r="B233" s="3326" t="s">
        <v>2650</v>
      </c>
      <c r="C233" s="3229" t="s">
        <v>2656</v>
      </c>
      <c r="D233" s="3229">
        <v>99</v>
      </c>
    </row>
    <row r="234" spans="1:4">
      <c r="A234" s="3326"/>
      <c r="B234" s="3149"/>
      <c r="C234" s="3149"/>
      <c r="D234" s="3149"/>
    </row>
    <row r="235" spans="1:4">
      <c r="A235" s="3229"/>
      <c r="B235" s="3149"/>
      <c r="C235" s="3149"/>
      <c r="D235" s="3149"/>
    </row>
    <row r="236" spans="1:4">
      <c r="A236" s="2874"/>
      <c r="B236" s="2920"/>
      <c r="C236" s="2920"/>
      <c r="D236" s="2920"/>
    </row>
    <row r="237" spans="1:4">
      <c r="A237" s="2874"/>
      <c r="B237" s="2920"/>
      <c r="C237" s="2920"/>
      <c r="D237" s="2920"/>
    </row>
    <row r="238" spans="1:4">
      <c r="A238" s="2874"/>
      <c r="B238" s="2920"/>
      <c r="C238" s="2920"/>
      <c r="D238" s="2920"/>
    </row>
    <row r="239" spans="1:4">
      <c r="A239" s="2918" t="s">
        <v>2414</v>
      </c>
      <c r="B239" s="2920"/>
      <c r="C239" s="2920"/>
      <c r="D239" s="2920"/>
    </row>
    <row r="240" spans="1:4">
      <c r="A240" s="3281" t="s">
        <v>2552</v>
      </c>
      <c r="B240" s="2920"/>
      <c r="C240" s="2920"/>
      <c r="D240" s="2920"/>
    </row>
    <row r="241" spans="1:4">
      <c r="A241" s="3227" t="s">
        <v>2410</v>
      </c>
      <c r="B241" s="2920"/>
      <c r="C241" s="2920"/>
      <c r="D241" s="2920"/>
    </row>
    <row r="242" spans="1:4">
      <c r="A242" s="2874"/>
      <c r="B242" s="2920"/>
      <c r="C242" s="2920"/>
      <c r="D242" s="2920"/>
    </row>
    <row r="243" spans="1:4">
      <c r="A243" s="2874"/>
      <c r="B243" s="2920"/>
      <c r="C243" s="2920"/>
      <c r="D243" s="2920"/>
    </row>
    <row r="244" spans="1:4">
      <c r="A244" s="2874"/>
      <c r="B244" s="2920"/>
      <c r="C244" s="2920"/>
      <c r="D244" s="2920"/>
    </row>
    <row r="245" spans="1:4">
      <c r="A245" s="2918" t="s">
        <v>2415</v>
      </c>
      <c r="B245" s="2920"/>
      <c r="C245" s="2920"/>
      <c r="D245" s="2920"/>
    </row>
    <row r="246" spans="1:4">
      <c r="A246" s="2918"/>
      <c r="B246" s="2920"/>
      <c r="C246" s="2920"/>
      <c r="D246" s="2920"/>
    </row>
    <row r="247" spans="1:4">
      <c r="A247" s="3281" t="s">
        <v>2659</v>
      </c>
      <c r="B247" s="2920"/>
      <c r="C247" s="2920"/>
      <c r="D247" s="2920"/>
    </row>
    <row r="248" spans="1:4">
      <c r="A248" s="2874"/>
      <c r="B248" s="2920"/>
      <c r="C248" s="2920"/>
      <c r="D248" s="2920"/>
    </row>
    <row r="249" spans="1:4">
      <c r="A249" s="2874"/>
      <c r="B249" s="2920"/>
      <c r="C249" s="2920"/>
      <c r="D249" s="2920"/>
    </row>
    <row r="250" spans="1:4">
      <c r="A250" s="2874"/>
      <c r="B250" s="2920"/>
      <c r="C250" s="2920"/>
      <c r="D250" s="2920"/>
    </row>
    <row r="251" spans="1:4">
      <c r="A251" s="2874"/>
      <c r="B251" s="2920"/>
      <c r="C251" s="2920"/>
      <c r="D251" s="2920"/>
    </row>
    <row r="252" spans="1:4">
      <c r="A252" s="2918" t="s">
        <v>2416</v>
      </c>
      <c r="B252" s="2920"/>
      <c r="C252" s="2920"/>
      <c r="D252" s="2920"/>
    </row>
    <row r="253" spans="1:4">
      <c r="A253" s="3227"/>
      <c r="B253" s="2920"/>
      <c r="C253" s="2920"/>
      <c r="D253" s="2920"/>
    </row>
    <row r="254" spans="1:4">
      <c r="A254" s="3227" t="s">
        <v>2573</v>
      </c>
      <c r="B254" s="2920"/>
      <c r="C254" s="2920"/>
      <c r="D254" s="2920"/>
    </row>
    <row r="255" spans="1:4">
      <c r="A255" s="3227" t="s">
        <v>2660</v>
      </c>
      <c r="B255" s="2920"/>
      <c r="C255" s="2920"/>
      <c r="D255" s="2920"/>
    </row>
    <row r="256" spans="1:4">
      <c r="A256" s="2874"/>
      <c r="B256" s="2920"/>
      <c r="C256" s="2920"/>
      <c r="D256" s="2920"/>
    </row>
    <row r="257" spans="1:4">
      <c r="A257" s="2874"/>
      <c r="B257" s="2920"/>
      <c r="C257" s="2920"/>
      <c r="D257" s="2920"/>
    </row>
    <row r="258" spans="1:4">
      <c r="A258" s="2874"/>
      <c r="B258" s="2920"/>
      <c r="C258" s="2920"/>
      <c r="D258" s="2920"/>
    </row>
    <row r="259" spans="1:4">
      <c r="A259" s="2874"/>
      <c r="B259" s="2920"/>
      <c r="C259" s="2920"/>
      <c r="D259" s="2920"/>
    </row>
    <row r="260" spans="1:4">
      <c r="A260" s="2918" t="s">
        <v>2417</v>
      </c>
      <c r="B260" s="2920"/>
      <c r="C260" s="2920"/>
      <c r="D260" s="2920"/>
    </row>
    <row r="261" spans="1:4">
      <c r="A261" s="3227" t="s">
        <v>2553</v>
      </c>
      <c r="B261" s="2920"/>
      <c r="C261" s="2920"/>
      <c r="D261" s="2920"/>
    </row>
    <row r="262" spans="1:4">
      <c r="A262" s="3227" t="s">
        <v>2420</v>
      </c>
      <c r="B262" s="2920"/>
      <c r="C262" s="2920"/>
      <c r="D262" s="2920"/>
    </row>
    <row r="263" spans="1:4">
      <c r="A263" s="3227"/>
      <c r="B263" s="3307" t="s">
        <v>2591</v>
      </c>
      <c r="C263" s="3324" t="s">
        <v>2421</v>
      </c>
      <c r="D263" s="3307"/>
    </row>
    <row r="264" spans="1:4">
      <c r="A264" s="3227" t="s">
        <v>2422</v>
      </c>
      <c r="B264" s="2920">
        <v>494</v>
      </c>
      <c r="C264" s="3229" t="s">
        <v>2423</v>
      </c>
      <c r="D264" s="3229"/>
    </row>
    <row r="265" spans="1:4">
      <c r="A265" s="3227" t="s">
        <v>2424</v>
      </c>
      <c r="B265" s="2920">
        <v>69</v>
      </c>
      <c r="C265" s="3229" t="s">
        <v>2423</v>
      </c>
      <c r="D265" s="3229"/>
    </row>
    <row r="266" spans="1:4">
      <c r="A266" s="3227" t="s">
        <v>2425</v>
      </c>
      <c r="B266" s="2920">
        <v>8</v>
      </c>
      <c r="C266" s="3317">
        <v>44287</v>
      </c>
      <c r="D266" s="3317"/>
    </row>
    <row r="267" spans="1:4">
      <c r="A267" s="3227" t="s">
        <v>2426</v>
      </c>
      <c r="B267" s="2920">
        <v>13</v>
      </c>
      <c r="C267" s="3317">
        <v>42505</v>
      </c>
      <c r="D267" s="3317"/>
    </row>
    <row r="268" spans="1:4">
      <c r="A268" s="3227" t="s">
        <v>2427</v>
      </c>
      <c r="B268" s="2920">
        <v>307</v>
      </c>
      <c r="C268" s="3229" t="s">
        <v>2428</v>
      </c>
      <c r="D268" s="3229"/>
    </row>
    <row r="269" spans="1:4">
      <c r="A269" s="3227" t="s">
        <v>2429</v>
      </c>
      <c r="B269" s="3308">
        <v>7209</v>
      </c>
      <c r="C269" s="3317">
        <v>44926</v>
      </c>
      <c r="D269" s="3317"/>
    </row>
    <row r="270" spans="1:4">
      <c r="A270" s="3227" t="s">
        <v>2430</v>
      </c>
      <c r="B270" s="3308">
        <v>1328</v>
      </c>
      <c r="C270" s="3317">
        <v>45003</v>
      </c>
      <c r="D270" s="3317"/>
    </row>
    <row r="271" spans="1:4">
      <c r="A271" s="3227" t="s">
        <v>2431</v>
      </c>
      <c r="B271" s="3313">
        <v>3845</v>
      </c>
      <c r="C271" s="3317">
        <v>46022</v>
      </c>
      <c r="D271" s="3317"/>
    </row>
    <row r="272" spans="1:4">
      <c r="A272" s="2874"/>
      <c r="B272" s="3226">
        <f>SUM(B264:B271)</f>
        <v>13273</v>
      </c>
      <c r="C272" s="3226"/>
      <c r="D272" s="2920"/>
    </row>
    <row r="273" spans="1:4">
      <c r="A273" s="2874"/>
      <c r="B273" s="2920"/>
      <c r="C273" s="2920"/>
      <c r="D273" s="2920"/>
    </row>
    <row r="274" spans="1:4">
      <c r="A274" s="3227"/>
      <c r="B274" s="2920"/>
      <c r="C274" s="2920"/>
      <c r="D274" s="2920"/>
    </row>
    <row r="275" spans="1:4">
      <c r="A275" s="3227"/>
      <c r="B275" s="2920"/>
      <c r="C275" s="2920"/>
      <c r="D275" s="2920"/>
    </row>
    <row r="276" spans="1:4">
      <c r="A276" s="2918" t="s">
        <v>2418</v>
      </c>
      <c r="B276" s="2920"/>
      <c r="C276" s="2920"/>
      <c r="D276" s="2920"/>
    </row>
    <row r="277" spans="1:4">
      <c r="A277" s="3227" t="s">
        <v>2367</v>
      </c>
      <c r="B277" s="2920"/>
      <c r="C277" s="2920"/>
      <c r="D277" s="2920"/>
    </row>
    <row r="278" spans="1:4">
      <c r="A278" s="2874"/>
      <c r="B278" s="2920"/>
      <c r="C278" s="2920"/>
      <c r="D278" s="2920"/>
    </row>
    <row r="279" spans="1:4">
      <c r="A279" s="3227" t="s">
        <v>2560</v>
      </c>
      <c r="B279" s="2920"/>
      <c r="C279" s="2920"/>
      <c r="D279" s="2920"/>
    </row>
    <row r="280" spans="1:4">
      <c r="A280" s="3227" t="s">
        <v>2561</v>
      </c>
      <c r="B280" s="2920"/>
      <c r="C280" s="2920"/>
      <c r="D280" s="2920"/>
    </row>
    <row r="281" spans="1:4">
      <c r="A281" s="3227" t="s">
        <v>2562</v>
      </c>
      <c r="B281" s="2920"/>
      <c r="C281" s="2920"/>
      <c r="D281" s="2920"/>
    </row>
    <row r="282" spans="1:4">
      <c r="A282" s="3227" t="s">
        <v>2564</v>
      </c>
      <c r="B282" s="2920"/>
      <c r="C282" s="2920"/>
      <c r="D282" s="2920"/>
    </row>
    <row r="283" spans="1:4">
      <c r="A283" s="2874"/>
      <c r="B283" s="2920"/>
      <c r="C283" s="2920"/>
      <c r="D283" s="2920"/>
    </row>
    <row r="284" spans="1:4">
      <c r="A284" s="3227" t="s">
        <v>2563</v>
      </c>
      <c r="B284" s="2920"/>
      <c r="C284" s="2920"/>
      <c r="D284" s="2920"/>
    </row>
    <row r="285" spans="1:4">
      <c r="A285" s="3227" t="s">
        <v>2661</v>
      </c>
      <c r="B285" s="2920"/>
      <c r="C285" s="2920"/>
      <c r="D285" s="2920"/>
    </row>
    <row r="286" spans="1:4">
      <c r="A286" s="3227" t="s">
        <v>2663</v>
      </c>
      <c r="B286" s="2920"/>
      <c r="C286" s="2920"/>
      <c r="D286" s="2920"/>
    </row>
    <row r="287" spans="1:4">
      <c r="A287" s="3227" t="s">
        <v>2662</v>
      </c>
      <c r="B287" s="2920"/>
      <c r="C287" s="2920"/>
      <c r="D287" s="2920"/>
    </row>
    <row r="288" spans="1:4">
      <c r="A288" s="3227" t="s">
        <v>2664</v>
      </c>
      <c r="B288" s="2920"/>
      <c r="C288" s="2920"/>
      <c r="D288" s="2920"/>
    </row>
    <row r="289" spans="1:4">
      <c r="A289" s="3227"/>
      <c r="B289" s="2920"/>
      <c r="C289" s="2920"/>
      <c r="D289" s="2920"/>
    </row>
    <row r="290" spans="1:4">
      <c r="A290" s="3227" t="s">
        <v>2565</v>
      </c>
      <c r="B290" s="2920"/>
      <c r="C290" s="2920"/>
      <c r="D290" s="2920"/>
    </row>
    <row r="291" spans="1:4">
      <c r="A291" s="3227"/>
      <c r="B291" s="2920"/>
      <c r="C291" s="2920"/>
      <c r="D291" s="2920"/>
    </row>
    <row r="292" spans="1:4">
      <c r="A292" s="3227"/>
      <c r="B292" s="2920"/>
      <c r="C292" s="2920"/>
      <c r="D292" s="2920"/>
    </row>
    <row r="293" spans="1:4">
      <c r="A293" s="3227" t="s">
        <v>2678</v>
      </c>
      <c r="B293" s="2920"/>
      <c r="C293" s="2920"/>
      <c r="D293" s="2920"/>
    </row>
    <row r="294" spans="1:4">
      <c r="A294" s="3227"/>
      <c r="B294" s="2920"/>
      <c r="C294" s="2920"/>
      <c r="D294" s="2920"/>
    </row>
    <row r="295" spans="1:4">
      <c r="A295" s="2874"/>
      <c r="B295" s="2920"/>
      <c r="C295" s="2920"/>
      <c r="D295" s="2920"/>
    </row>
    <row r="296" spans="1:4">
      <c r="A296" s="2918" t="s">
        <v>2419</v>
      </c>
      <c r="B296" s="2920"/>
      <c r="C296" s="2920"/>
      <c r="D296" s="2920"/>
    </row>
    <row r="297" spans="1:4">
      <c r="A297" s="2874"/>
      <c r="B297" s="2920"/>
      <c r="C297" s="2920"/>
      <c r="D297" s="2920"/>
    </row>
    <row r="298" spans="1:4">
      <c r="A298" s="3227" t="s">
        <v>2368</v>
      </c>
      <c r="B298" s="2920"/>
      <c r="C298" s="2920"/>
      <c r="D298" s="2920"/>
    </row>
    <row r="299" spans="1:4">
      <c r="A299" s="3227" t="s">
        <v>2432</v>
      </c>
      <c r="B299" s="2920"/>
      <c r="C299" s="2920"/>
      <c r="D299" s="2920"/>
    </row>
    <row r="300" spans="1:4">
      <c r="A300" s="2874"/>
      <c r="B300" s="2920"/>
      <c r="C300" s="2920"/>
      <c r="D300" s="2920"/>
    </row>
    <row r="301" spans="1:4">
      <c r="A301" s="3311" t="s">
        <v>2369</v>
      </c>
      <c r="B301" s="3307" t="s">
        <v>2370</v>
      </c>
      <c r="C301" s="2920"/>
      <c r="D301" s="2920"/>
    </row>
    <row r="302" spans="1:4">
      <c r="A302" s="2874"/>
      <c r="B302" s="2920"/>
      <c r="C302" s="2920"/>
      <c r="D302" s="2920"/>
    </row>
    <row r="303" spans="1:4">
      <c r="A303" s="3227" t="s">
        <v>2371</v>
      </c>
      <c r="B303" s="3308">
        <v>19707</v>
      </c>
      <c r="C303" s="2920"/>
      <c r="D303" s="2920"/>
    </row>
    <row r="304" spans="1:4">
      <c r="A304" s="3227" t="s">
        <v>2372</v>
      </c>
      <c r="B304" s="3308">
        <v>4610</v>
      </c>
      <c r="C304" s="2920"/>
      <c r="D304" s="2920"/>
    </row>
    <row r="305" spans="1:4">
      <c r="A305" s="3227" t="s">
        <v>2373</v>
      </c>
      <c r="B305" s="3308">
        <v>6365</v>
      </c>
      <c r="C305" s="2920"/>
      <c r="D305" s="2920"/>
    </row>
    <row r="306" spans="1:4">
      <c r="A306" s="3227" t="s">
        <v>2374</v>
      </c>
      <c r="B306" s="3308">
        <v>1100</v>
      </c>
      <c r="C306" s="2920"/>
      <c r="D306" s="2920"/>
    </row>
    <row r="307" spans="1:4">
      <c r="A307" s="3227" t="s">
        <v>2559</v>
      </c>
      <c r="B307" s="3308">
        <v>73294</v>
      </c>
      <c r="C307" s="2920"/>
      <c r="D307" s="2920"/>
    </row>
    <row r="308" spans="1:4">
      <c r="A308" s="3227" t="s">
        <v>2375</v>
      </c>
      <c r="B308" s="3308">
        <v>411</v>
      </c>
      <c r="C308" s="2920"/>
      <c r="D308" s="2920"/>
    </row>
    <row r="309" spans="1:4">
      <c r="A309" s="3227" t="s">
        <v>2376</v>
      </c>
      <c r="B309" s="3308">
        <v>1770</v>
      </c>
      <c r="C309" s="2920"/>
      <c r="D309" s="2920"/>
    </row>
    <row r="310" spans="1:4">
      <c r="A310" s="3227" t="s">
        <v>2377</v>
      </c>
      <c r="B310" s="3308">
        <v>2818</v>
      </c>
      <c r="C310" s="2920"/>
      <c r="D310" s="2920"/>
    </row>
    <row r="311" spans="1:4">
      <c r="A311" s="3227" t="s">
        <v>2378</v>
      </c>
      <c r="B311" s="2920">
        <v>406</v>
      </c>
      <c r="C311" s="2920"/>
      <c r="D311" s="2920"/>
    </row>
    <row r="312" spans="1:4">
      <c r="A312" s="3227" t="s">
        <v>2585</v>
      </c>
      <c r="B312" s="3308">
        <v>3500</v>
      </c>
      <c r="C312" s="2920"/>
      <c r="D312" s="2920"/>
    </row>
    <row r="313" spans="1:4">
      <c r="A313" s="3227" t="s">
        <v>2557</v>
      </c>
      <c r="B313" s="3312">
        <v>20</v>
      </c>
      <c r="C313" s="2920"/>
      <c r="D313" s="2920"/>
    </row>
    <row r="314" spans="1:4">
      <c r="A314" s="2874"/>
      <c r="B314" s="3308">
        <f>SUM(B303:B313)</f>
        <v>114001</v>
      </c>
      <c r="C314" s="2920"/>
      <c r="D314" s="2920"/>
    </row>
    <row r="315" spans="1:4">
      <c r="A315" s="2874"/>
      <c r="B315" s="2920"/>
      <c r="C315" s="2920"/>
      <c r="D315" s="2920"/>
    </row>
    <row r="316" spans="1:4">
      <c r="A316" s="2874"/>
      <c r="B316" s="2920"/>
      <c r="C316" s="2920"/>
      <c r="D316" s="2920"/>
    </row>
    <row r="317" spans="1:4">
      <c r="A317" s="2874"/>
      <c r="B317" s="2920"/>
      <c r="C317" s="2920"/>
      <c r="D317" s="2920"/>
    </row>
    <row r="318" spans="1:4">
      <c r="A318" s="2918" t="s">
        <v>2665</v>
      </c>
      <c r="B318" s="2920"/>
      <c r="C318" s="2920"/>
      <c r="D318" s="2920"/>
    </row>
    <row r="319" spans="1:4">
      <c r="A319" s="2874"/>
      <c r="B319" s="2920"/>
      <c r="C319" s="2920"/>
      <c r="D319" s="2920"/>
    </row>
    <row r="320" spans="1:4">
      <c r="A320" s="3227" t="s">
        <v>2681</v>
      </c>
      <c r="B320" s="3307">
        <v>2015</v>
      </c>
      <c r="C320" s="3307">
        <v>2014</v>
      </c>
      <c r="D320" s="2920"/>
    </row>
    <row r="321" spans="1:4">
      <c r="A321" s="2874"/>
      <c r="B321" s="2920"/>
      <c r="C321" s="2920"/>
      <c r="D321" s="2920"/>
    </row>
    <row r="322" spans="1:4">
      <c r="A322" s="3227"/>
      <c r="B322" s="2920"/>
      <c r="C322" s="2920"/>
      <c r="D322" s="2920"/>
    </row>
    <row r="323" spans="1:4">
      <c r="A323" s="3227" t="s">
        <v>2682</v>
      </c>
      <c r="B323" s="3308">
        <v>362834</v>
      </c>
      <c r="C323" s="3308">
        <v>357933</v>
      </c>
      <c r="D323" s="2920"/>
    </row>
    <row r="324" spans="1:4">
      <c r="A324" s="3227" t="s">
        <v>2666</v>
      </c>
      <c r="B324" s="3313">
        <v>75517</v>
      </c>
      <c r="C324" s="3328" t="s">
        <v>2449</v>
      </c>
      <c r="D324" s="2920"/>
    </row>
    <row r="325" spans="1:4">
      <c r="A325" s="2874"/>
      <c r="B325" s="2920"/>
      <c r="C325" s="2920"/>
      <c r="D325" s="2920"/>
    </row>
    <row r="326" spans="1:4">
      <c r="A326" s="2874"/>
      <c r="B326" s="3314">
        <f>SUM(B323:B325)</f>
        <v>438351</v>
      </c>
      <c r="C326" s="3308">
        <f>SUM(C323:C325)</f>
        <v>357933</v>
      </c>
      <c r="D326" s="2920"/>
    </row>
    <row r="327" spans="1:4">
      <c r="A327" s="3227" t="s">
        <v>2680</v>
      </c>
      <c r="B327" s="3313">
        <v>438351</v>
      </c>
      <c r="C327" s="3313">
        <v>304624</v>
      </c>
      <c r="D327" s="2920"/>
    </row>
    <row r="328" spans="1:4">
      <c r="A328" s="2874"/>
      <c r="B328" s="2920"/>
      <c r="C328" s="3308"/>
      <c r="D328" s="2920"/>
    </row>
    <row r="329" spans="1:4">
      <c r="A329" s="3227" t="s">
        <v>2683</v>
      </c>
      <c r="B329" s="3327" t="s">
        <v>2449</v>
      </c>
      <c r="C329" s="3308">
        <v>53309</v>
      </c>
      <c r="D329" s="2920"/>
    </row>
    <row r="330" spans="1:4">
      <c r="A330" s="2874"/>
      <c r="B330" s="2920"/>
      <c r="C330" s="2920"/>
      <c r="D330" s="2920"/>
    </row>
    <row r="331" spans="1:4">
      <c r="A331" s="3311"/>
      <c r="B331" s="2920"/>
      <c r="C331" s="2920"/>
      <c r="D331" s="2920"/>
    </row>
    <row r="332" spans="1:4">
      <c r="A332" s="2874"/>
      <c r="B332" s="2920"/>
      <c r="C332" s="2920"/>
      <c r="D332" s="2920"/>
    </row>
    <row r="333" spans="1:4">
      <c r="A333" s="3227"/>
      <c r="B333" s="3308"/>
      <c r="C333" s="3308"/>
      <c r="D333" s="2920"/>
    </row>
    <row r="334" spans="1:4">
      <c r="A334" s="3227"/>
      <c r="B334" s="3307"/>
      <c r="C334" s="3313"/>
      <c r="D334" s="2920"/>
    </row>
    <row r="335" spans="1:4">
      <c r="A335" s="2874"/>
      <c r="B335" s="2920"/>
      <c r="C335" s="2920"/>
      <c r="D335" s="2920"/>
    </row>
    <row r="336" spans="1:4">
      <c r="A336" s="2874"/>
      <c r="B336" s="3308"/>
      <c r="C336" s="3308"/>
      <c r="D336" s="2920"/>
    </row>
    <row r="337" spans="1:4">
      <c r="A337" s="2874"/>
      <c r="B337" s="2920"/>
      <c r="C337" s="2920"/>
      <c r="D337" s="2920"/>
    </row>
    <row r="338" spans="1:4">
      <c r="A338" s="2874"/>
      <c r="B338" s="2920"/>
      <c r="C338" s="2920"/>
      <c r="D338" s="2920"/>
    </row>
    <row r="339" spans="1:4">
      <c r="A339" s="2874"/>
      <c r="B339" s="2920"/>
      <c r="C339" s="2920"/>
      <c r="D339" s="2920"/>
    </row>
    <row r="340" spans="1:4">
      <c r="A340" s="2874"/>
      <c r="B340" s="2920"/>
      <c r="C340" s="2920"/>
      <c r="D340" s="2920"/>
    </row>
    <row r="341" spans="1:4">
      <c r="A341" s="2874"/>
      <c r="B341" s="2920"/>
      <c r="C341" s="2920"/>
      <c r="D341" s="2920"/>
    </row>
    <row r="342" spans="1:4">
      <c r="A342" s="2874"/>
      <c r="B342" s="2920"/>
      <c r="C342" s="2920"/>
      <c r="D342" s="2920"/>
    </row>
    <row r="343" spans="1:4">
      <c r="A343" s="2874"/>
      <c r="B343" s="2920"/>
      <c r="C343" s="2920"/>
      <c r="D343" s="2920"/>
    </row>
    <row r="344" spans="1:4">
      <c r="A344" s="2874"/>
      <c r="B344" s="2920"/>
      <c r="C344" s="2920"/>
      <c r="D344" s="2920"/>
    </row>
    <row r="345" spans="1:4">
      <c r="A345" s="2874"/>
      <c r="B345" s="2920"/>
      <c r="C345" s="2920"/>
      <c r="D345" s="2920"/>
    </row>
    <row r="346" spans="1:4">
      <c r="A346" s="2874"/>
      <c r="B346" s="2920"/>
      <c r="C346" s="2920"/>
      <c r="D346" s="2920"/>
    </row>
    <row r="347" spans="1:4">
      <c r="A347" s="2874"/>
      <c r="B347" s="2920"/>
      <c r="C347" s="2920"/>
      <c r="D347" s="2920"/>
    </row>
    <row r="348" spans="1:4">
      <c r="A348" s="2874"/>
      <c r="B348" s="2920"/>
      <c r="C348" s="2920"/>
      <c r="D348" s="2920"/>
    </row>
    <row r="349" spans="1:4">
      <c r="A349" s="2874"/>
      <c r="B349" s="2920"/>
      <c r="C349" s="2920"/>
      <c r="D349" s="2920"/>
    </row>
    <row r="350" spans="1:4">
      <c r="A350" s="2874"/>
      <c r="B350" s="2920"/>
      <c r="C350" s="2920"/>
      <c r="D350" s="2920"/>
    </row>
    <row r="351" spans="1:4">
      <c r="A351" s="2874"/>
      <c r="B351" s="2920"/>
      <c r="C351" s="2920"/>
      <c r="D351" s="2920"/>
    </row>
    <row r="352" spans="1:4">
      <c r="A352" s="2874"/>
      <c r="B352" s="2920"/>
      <c r="C352" s="2920"/>
      <c r="D352" s="2920"/>
    </row>
    <row r="353" spans="1:4">
      <c r="A353" s="2874"/>
      <c r="B353" s="2920"/>
      <c r="C353" s="2920"/>
      <c r="D353" s="2920"/>
    </row>
    <row r="354" spans="1:4">
      <c r="A354" s="2874"/>
      <c r="B354" s="2920"/>
      <c r="C354" s="2920"/>
      <c r="D354" s="2920"/>
    </row>
    <row r="355" spans="1:4">
      <c r="A355" s="2874"/>
      <c r="B355" s="2920"/>
      <c r="C355" s="2920"/>
      <c r="D355" s="2920"/>
    </row>
    <row r="356" spans="1:4">
      <c r="A356" s="2874"/>
      <c r="B356" s="2920"/>
      <c r="C356" s="2920"/>
      <c r="D356" s="2920"/>
    </row>
    <row r="357" spans="1:4">
      <c r="A357" s="2874"/>
      <c r="B357" s="2920"/>
      <c r="C357" s="2920"/>
      <c r="D357" s="2920"/>
    </row>
    <row r="358" spans="1:4">
      <c r="A358" s="2874"/>
      <c r="B358" s="2920"/>
      <c r="C358" s="2920"/>
      <c r="D358" s="2920"/>
    </row>
    <row r="359" spans="1:4">
      <c r="A359" s="2874"/>
      <c r="B359" s="2920"/>
      <c r="C359" s="2920"/>
      <c r="D359" s="2920"/>
    </row>
    <row r="360" spans="1:4">
      <c r="A360" s="2874"/>
      <c r="B360" s="2920"/>
      <c r="C360" s="2920"/>
      <c r="D360" s="2920"/>
    </row>
    <row r="361" spans="1:4">
      <c r="A361" s="2874"/>
      <c r="B361" s="2920"/>
      <c r="C361" s="2920"/>
      <c r="D361" s="2920"/>
    </row>
    <row r="362" spans="1:4">
      <c r="A362" s="2874"/>
      <c r="B362" s="2920"/>
      <c r="C362" s="2920"/>
      <c r="D362" s="2920"/>
    </row>
    <row r="363" spans="1:4">
      <c r="A363" s="2874"/>
      <c r="B363" s="2920"/>
      <c r="C363" s="2920"/>
      <c r="D363" s="2920"/>
    </row>
    <row r="364" spans="1:4">
      <c r="A364" s="2874"/>
      <c r="B364" s="2920"/>
      <c r="C364" s="2920"/>
      <c r="D364" s="2920"/>
    </row>
    <row r="365" spans="1:4">
      <c r="A365" s="2874"/>
      <c r="B365" s="2920"/>
      <c r="C365" s="2920"/>
      <c r="D365" s="2920"/>
    </row>
    <row r="366" spans="1:4">
      <c r="A366" s="2874"/>
      <c r="B366" s="2920"/>
      <c r="C366" s="2920"/>
      <c r="D366" s="2920"/>
    </row>
    <row r="367" spans="1:4">
      <c r="A367" s="2874"/>
      <c r="B367" s="2920"/>
      <c r="C367" s="2920"/>
      <c r="D367" s="2920"/>
    </row>
    <row r="368" spans="1:4">
      <c r="A368" s="2874"/>
      <c r="B368" s="2920"/>
      <c r="C368" s="2920"/>
      <c r="D368" s="2920"/>
    </row>
    <row r="369" spans="1:4">
      <c r="A369" s="2874"/>
      <c r="B369" s="2920"/>
      <c r="C369" s="2920"/>
      <c r="D369" s="2920"/>
    </row>
    <row r="370" spans="1:4">
      <c r="A370" s="2874"/>
      <c r="B370" s="2920"/>
      <c r="C370" s="2920"/>
      <c r="D370" s="2920"/>
    </row>
    <row r="371" spans="1:4">
      <c r="A371" s="2874"/>
      <c r="B371" s="2920"/>
      <c r="C371" s="2920"/>
      <c r="D371" s="2920"/>
    </row>
    <row r="372" spans="1:4">
      <c r="A372" s="2874"/>
      <c r="B372" s="2920"/>
      <c r="C372" s="2920"/>
      <c r="D372" s="2920"/>
    </row>
    <row r="373" spans="1:4">
      <c r="A373" s="2874"/>
      <c r="B373" s="2920"/>
      <c r="C373" s="2920"/>
      <c r="D373" s="2920"/>
    </row>
    <row r="374" spans="1:4">
      <c r="A374" s="2874"/>
      <c r="B374" s="2920"/>
      <c r="C374" s="2920"/>
      <c r="D374" s="2920"/>
    </row>
    <row r="375" spans="1:4">
      <c r="A375" s="2874"/>
      <c r="B375" s="2920"/>
      <c r="C375" s="2920"/>
      <c r="D375" s="2920"/>
    </row>
    <row r="376" spans="1:4">
      <c r="B376" s="766"/>
      <c r="C376" s="766"/>
      <c r="D376" s="766"/>
    </row>
    <row r="377" spans="1:4">
      <c r="A377" s="2921" t="s">
        <v>787</v>
      </c>
    </row>
    <row r="378" spans="1:4">
      <c r="A378" s="766" t="s">
        <v>788</v>
      </c>
      <c r="B378" s="766"/>
      <c r="C378" s="766"/>
      <c r="D378" s="2923"/>
    </row>
    <row r="397" ht="32.25" customHeight="1"/>
  </sheetData>
  <phoneticPr fontId="4" type="noConversion"/>
  <hyperlinks>
    <hyperlink ref="A1" location="'תוכן הענינים'!A1" tooltip="לחץ להצגת גליון תוכן הענינים" display="הצג תוכן ענינים"/>
  </hyperlinks>
  <pageMargins left="0.25" right="0.25" top="0.75" bottom="0.75" header="0.3" footer="0.3"/>
  <pageSetup paperSize="9" orientation="landscape" blackAndWhite="1" horizontalDpi="300" verticalDpi="300" r:id="rId1"/>
  <headerFooter alignWithMargins="0">
    <oddFooter>&amp;C&amp;8&amp;P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pageSetUpPr autoPageBreaks="0"/>
  </sheetPr>
  <dimension ref="A1:N255"/>
  <sheetViews>
    <sheetView showGridLines="0" showRowColHeaders="0" showZeros="0" rightToLeft="1" showOutlineSymbols="0" zoomScale="80" zoomScaleNormal="75" zoomScaleSheetLayoutView="75" workbookViewId="0"/>
  </sheetViews>
  <sheetFormatPr defaultColWidth="9.109375" defaultRowHeight="13.2"/>
  <cols>
    <col min="1" max="1" width="9.5546875" style="973" customWidth="1"/>
    <col min="2" max="2" width="6.5546875" style="973" customWidth="1"/>
    <col min="3" max="3" width="32.5546875" style="973" customWidth="1"/>
    <col min="4" max="8" width="13.44140625" style="973" customWidth="1"/>
    <col min="9" max="9" width="15.6640625" style="973" customWidth="1"/>
    <col min="10" max="10" width="1" style="973" hidden="1" customWidth="1"/>
    <col min="11" max="11" width="15.6640625" style="973" customWidth="1"/>
    <col min="12" max="12" width="13.33203125" style="973" customWidth="1"/>
    <col min="13" max="13" width="10" style="973" customWidth="1"/>
    <col min="14" max="14" width="12.6640625" style="973" customWidth="1"/>
    <col min="15" max="16384" width="9.109375" style="973"/>
  </cols>
  <sheetData>
    <row r="1" spans="1:14" ht="15" customHeight="1">
      <c r="A1" s="969"/>
      <c r="B1" s="970"/>
      <c r="C1" s="970"/>
      <c r="D1" s="970"/>
      <c r="E1" s="3512" t="str">
        <f>'הגדרות כלליות'!D6</f>
        <v>עירית הרצליה</v>
      </c>
      <c r="F1" s="3512"/>
      <c r="G1" s="3512"/>
      <c r="H1" s="3512"/>
      <c r="I1" s="3512"/>
      <c r="J1" s="3512"/>
      <c r="K1" s="3512"/>
      <c r="L1" s="3512"/>
      <c r="M1" s="971"/>
      <c r="N1" s="972"/>
    </row>
    <row r="2" spans="1:14" ht="12" customHeight="1">
      <c r="A2" s="969"/>
      <c r="B2" s="970"/>
      <c r="C2" s="970"/>
      <c r="D2" s="974"/>
      <c r="E2" s="3394" t="str">
        <f>CONCATENATE("הדוח הכספי לשנת ",'הגדרות כלליות'!D10)</f>
        <v>הדוח הכספי לשנת 2015</v>
      </c>
      <c r="F2" s="3394"/>
      <c r="G2" s="3394"/>
      <c r="H2" s="3394"/>
      <c r="I2" s="3394"/>
      <c r="J2" s="3394"/>
      <c r="K2" s="3394"/>
      <c r="L2" s="3394"/>
      <c r="M2" s="813"/>
      <c r="N2" s="972"/>
    </row>
    <row r="3" spans="1:14" ht="13.5" customHeight="1">
      <c r="A3" s="181"/>
      <c r="B3" s="969"/>
      <c r="C3" s="971"/>
      <c r="D3" s="975"/>
      <c r="E3" s="3394" t="s">
        <v>814</v>
      </c>
      <c r="F3" s="3394"/>
      <c r="G3" s="3394"/>
      <c r="H3" s="3394"/>
      <c r="I3" s="3394"/>
      <c r="J3" s="3394"/>
      <c r="K3" s="3394"/>
      <c r="L3" s="3394"/>
      <c r="M3" s="813"/>
      <c r="N3" s="972"/>
    </row>
    <row r="4" spans="1:14" ht="15" customHeight="1">
      <c r="A4" s="7" t="s">
        <v>339</v>
      </c>
      <c r="B4" s="976"/>
      <c r="C4" s="977"/>
      <c r="D4" s="977"/>
      <c r="E4" s="977"/>
      <c r="F4" s="977"/>
      <c r="G4" s="977"/>
      <c r="H4" s="977"/>
      <c r="I4" s="977"/>
      <c r="J4" s="977"/>
      <c r="K4" s="977"/>
      <c r="L4" s="977"/>
      <c r="M4" s="978"/>
      <c r="N4" s="972"/>
    </row>
    <row r="5" spans="1:14" ht="15.75" customHeight="1">
      <c r="A5" s="979"/>
      <c r="B5" s="980"/>
      <c r="C5" s="981"/>
      <c r="D5" s="3513" t="s">
        <v>815</v>
      </c>
      <c r="E5" s="3513" t="s">
        <v>816</v>
      </c>
      <c r="F5" s="3513" t="s">
        <v>817</v>
      </c>
      <c r="G5" s="3513" t="s">
        <v>818</v>
      </c>
      <c r="H5" s="3513" t="s">
        <v>819</v>
      </c>
      <c r="I5" s="3513" t="s">
        <v>820</v>
      </c>
      <c r="J5" s="3513"/>
      <c r="K5" s="3528" t="s">
        <v>821</v>
      </c>
      <c r="L5" s="3515" t="s">
        <v>696</v>
      </c>
      <c r="M5" s="982"/>
      <c r="N5" s="972"/>
    </row>
    <row r="6" spans="1:14" ht="20.25" customHeight="1">
      <c r="A6" s="274"/>
      <c r="B6" s="983"/>
      <c r="C6" s="984"/>
      <c r="D6" s="3517"/>
      <c r="E6" s="3514"/>
      <c r="F6" s="3514"/>
      <c r="G6" s="3514"/>
      <c r="H6" s="3514"/>
      <c r="I6" s="3514"/>
      <c r="J6" s="3514"/>
      <c r="K6" s="3529"/>
      <c r="L6" s="3516"/>
      <c r="M6" s="985"/>
      <c r="N6" s="972"/>
    </row>
    <row r="7" spans="1:14" ht="12" customHeight="1">
      <c r="A7" s="195"/>
      <c r="B7" s="986" t="s">
        <v>849</v>
      </c>
      <c r="C7" s="986" t="s">
        <v>850</v>
      </c>
      <c r="D7" s="987"/>
      <c r="E7" s="3530" t="s">
        <v>823</v>
      </c>
      <c r="F7" s="3530" t="s">
        <v>824</v>
      </c>
      <c r="G7" s="986"/>
      <c r="H7" s="3530" t="s">
        <v>825</v>
      </c>
      <c r="I7" s="986"/>
      <c r="J7" s="3526"/>
      <c r="K7" s="3532"/>
      <c r="L7" s="3532" t="s">
        <v>298</v>
      </c>
      <c r="M7" s="985"/>
      <c r="N7" s="972"/>
    </row>
    <row r="8" spans="1:14" ht="3.75" hidden="1" customHeight="1">
      <c r="A8" s="195"/>
      <c r="B8" s="988"/>
      <c r="C8" s="988"/>
      <c r="D8" s="988"/>
      <c r="E8" s="3531"/>
      <c r="F8" s="3531"/>
      <c r="G8" s="988"/>
      <c r="H8" s="3531"/>
      <c r="I8" s="988"/>
      <c r="J8" s="3527"/>
      <c r="K8" s="3527"/>
      <c r="L8" s="3527"/>
      <c r="M8" s="989"/>
      <c r="N8" s="972"/>
    </row>
    <row r="9" spans="1:14" ht="1.5" hidden="1" customHeight="1">
      <c r="A9" s="195"/>
      <c r="B9" s="990"/>
      <c r="C9" s="990"/>
      <c r="D9" s="990"/>
      <c r="E9" s="990"/>
      <c r="F9" s="990"/>
      <c r="G9" s="990"/>
      <c r="H9" s="990"/>
      <c r="I9" s="990"/>
      <c r="J9" s="990"/>
      <c r="K9" s="990"/>
      <c r="L9" s="990"/>
      <c r="M9" s="989"/>
      <c r="N9" s="972"/>
    </row>
    <row r="10" spans="1:14" ht="13.5" customHeight="1">
      <c r="A10" s="274"/>
      <c r="B10" s="991" t="s">
        <v>826</v>
      </c>
      <c r="C10" s="992" t="s">
        <v>827</v>
      </c>
      <c r="D10" s="993"/>
      <c r="E10" s="993"/>
      <c r="F10" s="993"/>
      <c r="G10" s="993"/>
      <c r="H10" s="993"/>
      <c r="I10" s="993"/>
      <c r="J10" s="994"/>
      <c r="K10" s="993"/>
      <c r="L10" s="995"/>
      <c r="M10" s="989"/>
      <c r="N10" s="972"/>
    </row>
    <row r="11" spans="1:14" ht="12.75" customHeight="1">
      <c r="A11" s="274"/>
      <c r="B11" s="1016">
        <v>1</v>
      </c>
      <c r="C11" s="1017" t="s">
        <v>1435</v>
      </c>
      <c r="D11" s="997"/>
      <c r="E11" s="997"/>
      <c r="F11" s="997"/>
      <c r="G11" s="997"/>
      <c r="H11" s="997"/>
      <c r="I11" s="997"/>
      <c r="J11" s="997"/>
      <c r="K11" s="997"/>
      <c r="L11" s="1086"/>
      <c r="M11" s="989"/>
      <c r="N11" s="972"/>
    </row>
    <row r="12" spans="1:14">
      <c r="A12" s="274"/>
      <c r="B12" s="996">
        <v>1.1000000000000001</v>
      </c>
      <c r="C12" s="997" t="s">
        <v>32</v>
      </c>
      <c r="D12" s="2609">
        <v>27505</v>
      </c>
      <c r="E12" s="998">
        <f>'נספח 2 לטופס 1 - פירוט א'!I9</f>
        <v>222234.23</v>
      </c>
      <c r="F12" s="998">
        <f>'נספח 2 לטופס 1 - פירוט ב'!K9</f>
        <v>33069</v>
      </c>
      <c r="G12" s="998">
        <f>D12+E12-F12+L12</f>
        <v>216360.23</v>
      </c>
      <c r="H12" s="998">
        <f>'נספח 2 לטופס 1 - פירוט ג'!J9</f>
        <v>184627</v>
      </c>
      <c r="I12" s="998">
        <f>G12-H12</f>
        <v>31733.23000000001</v>
      </c>
      <c r="J12" s="999"/>
      <c r="K12" s="999">
        <f t="shared" ref="K12:K23" si="0">IF(G12&gt;0,(H12/G12),0)</f>
        <v>0.85333150181990469</v>
      </c>
      <c r="L12" s="2669">
        <v>-310</v>
      </c>
      <c r="M12" s="989"/>
      <c r="N12" s="972"/>
    </row>
    <row r="13" spans="1:14">
      <c r="A13" s="274"/>
      <c r="B13" s="996">
        <v>1.2</v>
      </c>
      <c r="C13" s="997" t="s">
        <v>30</v>
      </c>
      <c r="D13" s="2609">
        <v>122524</v>
      </c>
      <c r="E13" s="998">
        <f>'נספח 2 לטופס 1 - פירוט א'!I10</f>
        <v>323249.56000000006</v>
      </c>
      <c r="F13" s="998">
        <f>'נספח 2 לטופס 1 - פירוט ב'!K10</f>
        <v>14126</v>
      </c>
      <c r="G13" s="998">
        <f>D13+E13-F13+L13</f>
        <v>427717.56000000006</v>
      </c>
      <c r="H13" s="998">
        <f>'נספח 2 לטופס 1 - פירוט ג'!J10</f>
        <v>307350</v>
      </c>
      <c r="I13" s="998">
        <f>G13-H13</f>
        <v>120367.56000000006</v>
      </c>
      <c r="J13" s="999"/>
      <c r="K13" s="999">
        <f t="shared" si="0"/>
        <v>0.71858167338278078</v>
      </c>
      <c r="L13" s="2669">
        <v>-3930</v>
      </c>
      <c r="M13" s="989"/>
      <c r="N13" s="972"/>
    </row>
    <row r="14" spans="1:14">
      <c r="A14" s="274"/>
      <c r="B14" s="996">
        <v>1.3</v>
      </c>
      <c r="C14" s="997" t="s">
        <v>36</v>
      </c>
      <c r="D14" s="2890">
        <v>149850</v>
      </c>
      <c r="E14" s="998">
        <f>'נספח 2 לטופס 1 - פירוט א'!I11</f>
        <v>12534</v>
      </c>
      <c r="F14" s="998">
        <f>'נספח 2 לטופס 1 - פירוט ב'!K11</f>
        <v>24256</v>
      </c>
      <c r="G14" s="998">
        <f>D14+E14-F14+L14</f>
        <v>142368</v>
      </c>
      <c r="H14" s="998">
        <f>'נספח 2 לטופס 1 - פירוט ג'!J11</f>
        <v>0</v>
      </c>
      <c r="I14" s="998">
        <f>G14-H14</f>
        <v>142368</v>
      </c>
      <c r="J14" s="999"/>
      <c r="K14" s="999">
        <f t="shared" si="0"/>
        <v>0</v>
      </c>
      <c r="L14" s="2669">
        <v>4240</v>
      </c>
      <c r="M14" s="989"/>
      <c r="N14" s="972"/>
    </row>
    <row r="15" spans="1:14">
      <c r="A15" s="274"/>
      <c r="B15" s="996"/>
      <c r="C15" s="997" t="s">
        <v>31</v>
      </c>
      <c r="D15" s="1009">
        <f t="shared" ref="D15:I15" si="1">SUM(D12:D14)</f>
        <v>299879</v>
      </c>
      <c r="E15" s="1010">
        <f t="shared" si="1"/>
        <v>558017.79</v>
      </c>
      <c r="F15" s="1010">
        <f t="shared" si="1"/>
        <v>71451</v>
      </c>
      <c r="G15" s="1010">
        <f t="shared" si="1"/>
        <v>786445.79</v>
      </c>
      <c r="H15" s="1010">
        <f t="shared" si="1"/>
        <v>491977</v>
      </c>
      <c r="I15" s="1011">
        <f t="shared" si="1"/>
        <v>294468.79000000004</v>
      </c>
      <c r="J15" s="1012"/>
      <c r="K15" s="1012">
        <f>IF(G15&gt;0,(H15/G15),0)</f>
        <v>0.62557013624550017</v>
      </c>
      <c r="L15" s="2971">
        <f>SUM(L12:L14)</f>
        <v>0</v>
      </c>
      <c r="M15" s="989"/>
      <c r="N15" s="972"/>
    </row>
    <row r="16" spans="1:14">
      <c r="A16" s="274"/>
      <c r="B16" s="1016">
        <v>2</v>
      </c>
      <c r="C16" s="1017" t="s">
        <v>33</v>
      </c>
      <c r="D16" s="2610"/>
      <c r="E16" s="998">
        <f>'נספח 2 לטופס 1 - פירוט א'!I13</f>
        <v>0</v>
      </c>
      <c r="F16" s="998">
        <f>'נספח 2 לטופס 1 - פירוט ב'!K13</f>
        <v>0</v>
      </c>
      <c r="G16" s="998">
        <f t="shared" ref="G16:G22" si="2">D16+E16-F16+L16</f>
        <v>0</v>
      </c>
      <c r="H16" s="998">
        <f>'נספח 2 לטופס 1 - פירוט ג'!J13</f>
        <v>0</v>
      </c>
      <c r="I16" s="998">
        <f t="shared" ref="I16:I22" si="3">G16-H16</f>
        <v>0</v>
      </c>
      <c r="J16" s="999"/>
      <c r="K16" s="999">
        <f t="shared" si="0"/>
        <v>0</v>
      </c>
      <c r="L16" s="2669"/>
      <c r="M16" s="989"/>
      <c r="N16" s="972"/>
    </row>
    <row r="17" spans="1:14">
      <c r="A17" s="274"/>
      <c r="B17" s="2111">
        <v>2.1</v>
      </c>
      <c r="C17" s="2878" t="s">
        <v>37</v>
      </c>
      <c r="D17" s="2609">
        <v>788</v>
      </c>
      <c r="E17" s="998">
        <f>'נספח 2 לטופס 1 - פירוט א'!I14</f>
        <v>36</v>
      </c>
      <c r="F17" s="998">
        <f>'נספח 2 לטופס 1 - פירוט ב'!K14</f>
        <v>0</v>
      </c>
      <c r="G17" s="998">
        <f t="shared" si="2"/>
        <v>1609</v>
      </c>
      <c r="H17" s="998">
        <f>'נספח 2 לטופס 1 - פירוט ג'!J14</f>
        <v>832</v>
      </c>
      <c r="I17" s="998">
        <f t="shared" si="3"/>
        <v>777</v>
      </c>
      <c r="J17" s="999"/>
      <c r="K17" s="999">
        <f t="shared" si="0"/>
        <v>0.51709136109384712</v>
      </c>
      <c r="L17" s="2669">
        <v>785</v>
      </c>
      <c r="M17" s="989"/>
      <c r="N17" s="972"/>
    </row>
    <row r="18" spans="1:14">
      <c r="A18" s="274"/>
      <c r="B18" s="2111">
        <v>2.2000000000000002</v>
      </c>
      <c r="C18" s="2878" t="s">
        <v>38</v>
      </c>
      <c r="D18" s="2890">
        <v>22398</v>
      </c>
      <c r="E18" s="2875">
        <f>'נספח 2 לטופס 1 - פירוט א'!I15</f>
        <v>1699</v>
      </c>
      <c r="F18" s="2875">
        <f>'נספח 2 לטופס 1 - פירוט ב'!K15</f>
        <v>1233</v>
      </c>
      <c r="G18" s="2875">
        <f t="shared" si="2"/>
        <v>22079</v>
      </c>
      <c r="H18" s="2875">
        <f>'נספח 2 לטופס 1 - פירוט ג'!J15</f>
        <v>0</v>
      </c>
      <c r="I18" s="2875">
        <f t="shared" si="3"/>
        <v>22079</v>
      </c>
      <c r="J18" s="2876"/>
      <c r="K18" s="2876">
        <f t="shared" si="0"/>
        <v>0</v>
      </c>
      <c r="L18" s="2669">
        <v>-785</v>
      </c>
      <c r="M18" s="989"/>
      <c r="N18" s="972"/>
    </row>
    <row r="19" spans="1:14">
      <c r="A19" s="274"/>
      <c r="B19" s="996"/>
      <c r="C19" s="997" t="s">
        <v>39</v>
      </c>
      <c r="D19" s="2891">
        <f>SUM(D17:D18)</f>
        <v>23186</v>
      </c>
      <c r="E19" s="1010">
        <f>'נספח 2 לטופס 1 - פירוט א'!I16</f>
        <v>1735</v>
      </c>
      <c r="F19" s="1010">
        <f>'נספח 2 לטופס 1 - פירוט ב'!K16</f>
        <v>1233</v>
      </c>
      <c r="G19" s="1010">
        <f t="shared" si="2"/>
        <v>23688</v>
      </c>
      <c r="H19" s="1010">
        <f>'נספח 2 לטופס 1 - פירוט ג'!J16</f>
        <v>832</v>
      </c>
      <c r="I19" s="1010">
        <f t="shared" si="3"/>
        <v>22856</v>
      </c>
      <c r="J19" s="1012"/>
      <c r="K19" s="1012">
        <f t="shared" si="0"/>
        <v>3.5123269165822354E-2</v>
      </c>
      <c r="L19" s="2971">
        <f>SUM(L17:L18)</f>
        <v>0</v>
      </c>
      <c r="M19" s="989"/>
      <c r="N19" s="972"/>
    </row>
    <row r="20" spans="1:14">
      <c r="A20" s="274"/>
      <c r="B20" s="996">
        <v>2.2999999999999998</v>
      </c>
      <c r="C20" s="997" t="s">
        <v>828</v>
      </c>
      <c r="D20" s="2877">
        <v>760</v>
      </c>
      <c r="E20" s="998">
        <f>'נספח 2 לטופס 1 - פירוט א'!I17</f>
        <v>-10</v>
      </c>
      <c r="F20" s="998">
        <f>'נספח 2 לטופס 1 - פירוט ב'!K17</f>
        <v>0</v>
      </c>
      <c r="G20" s="998">
        <f t="shared" si="2"/>
        <v>720</v>
      </c>
      <c r="H20" s="998">
        <f>'נספח 2 לטופס 1 - פירוט ג'!J17</f>
        <v>49</v>
      </c>
      <c r="I20" s="998">
        <f t="shared" si="3"/>
        <v>671</v>
      </c>
      <c r="J20" s="999"/>
      <c r="K20" s="999">
        <f t="shared" si="0"/>
        <v>6.805555555555555E-2</v>
      </c>
      <c r="L20" s="2669">
        <v>-30</v>
      </c>
      <c r="M20" s="989"/>
      <c r="N20" s="972"/>
    </row>
    <row r="21" spans="1:14">
      <c r="A21" s="274"/>
      <c r="B21" s="996">
        <v>3</v>
      </c>
      <c r="C21" s="1002" t="s">
        <v>2263</v>
      </c>
      <c r="D21" s="1003">
        <v>1365</v>
      </c>
      <c r="E21" s="1004">
        <f>'נספח 2 לטופס 1 - פירוט א'!I18</f>
        <v>-154</v>
      </c>
      <c r="F21" s="1004">
        <f>'נספח 2 לטופס 1 - פירוט ב'!K18</f>
        <v>0</v>
      </c>
      <c r="G21" s="1004">
        <f t="shared" si="2"/>
        <v>1241</v>
      </c>
      <c r="H21" s="1004">
        <f>'נספח 2 לטופס 1 - פירוט ג'!J18</f>
        <v>0</v>
      </c>
      <c r="I21" s="1005">
        <f t="shared" si="3"/>
        <v>1241</v>
      </c>
      <c r="J21" s="1006"/>
      <c r="K21" s="1006">
        <f t="shared" si="0"/>
        <v>0</v>
      </c>
      <c r="L21" s="2669">
        <v>30</v>
      </c>
      <c r="M21" s="989"/>
      <c r="N21" s="972"/>
    </row>
    <row r="22" spans="1:14">
      <c r="A22" s="274"/>
      <c r="B22" s="996">
        <v>4</v>
      </c>
      <c r="C22" s="997" t="s">
        <v>42</v>
      </c>
      <c r="D22" s="1003"/>
      <c r="E22" s="1004">
        <f>'נספח 2 לטופס 1 - פירוט א'!I19</f>
        <v>0</v>
      </c>
      <c r="F22" s="1004">
        <f>'נספח 2 לטופס 1 - פירוט ב'!K19</f>
        <v>0</v>
      </c>
      <c r="G22" s="1004">
        <f t="shared" si="2"/>
        <v>0</v>
      </c>
      <c r="H22" s="1004">
        <f>'נספח 2 לטופס 1 - פירוט ג'!J19</f>
        <v>0</v>
      </c>
      <c r="I22" s="1005">
        <f t="shared" si="3"/>
        <v>0</v>
      </c>
      <c r="J22" s="1006"/>
      <c r="K22" s="1006">
        <f t="shared" si="0"/>
        <v>0</v>
      </c>
      <c r="L22" s="2669"/>
      <c r="M22" s="989"/>
      <c r="N22" s="972"/>
    </row>
    <row r="23" spans="1:14">
      <c r="A23" s="985"/>
      <c r="B23" s="1007"/>
      <c r="C23" s="1013" t="s">
        <v>829</v>
      </c>
      <c r="D23" s="1009">
        <f t="shared" ref="D23:I23" si="4">D15+D16+D19+D20+D21+D22</f>
        <v>325190</v>
      </c>
      <c r="E23" s="1010">
        <f t="shared" si="4"/>
        <v>559588.79</v>
      </c>
      <c r="F23" s="1010">
        <f t="shared" si="4"/>
        <v>72684</v>
      </c>
      <c r="G23" s="1010">
        <f t="shared" si="4"/>
        <v>812094.79</v>
      </c>
      <c r="H23" s="1010">
        <f t="shared" si="4"/>
        <v>492858</v>
      </c>
      <c r="I23" s="1011">
        <f t="shared" si="4"/>
        <v>319236.79000000004</v>
      </c>
      <c r="J23" s="1012"/>
      <c r="K23" s="1012">
        <f t="shared" si="0"/>
        <v>0.60689713327676931</v>
      </c>
      <c r="L23" s="2971">
        <f>L15+L16+L19+L20+L21+L22</f>
        <v>0</v>
      </c>
      <c r="M23" s="989"/>
      <c r="N23" s="972"/>
    </row>
    <row r="24" spans="1:14" ht="0.75" customHeight="1">
      <c r="A24" s="985"/>
      <c r="B24" s="996"/>
      <c r="C24" s="997"/>
      <c r="D24" s="1013"/>
      <c r="E24" s="1013"/>
      <c r="F24" s="1013"/>
      <c r="G24" s="1013"/>
      <c r="H24" s="1013"/>
      <c r="I24" s="1013"/>
      <c r="J24" s="1014"/>
      <c r="K24" s="1014"/>
      <c r="L24" s="1015"/>
      <c r="M24" s="989"/>
      <c r="N24" s="972"/>
    </row>
    <row r="25" spans="1:14" ht="13.5" customHeight="1">
      <c r="A25" s="985"/>
      <c r="B25" s="1016" t="s">
        <v>830</v>
      </c>
      <c r="C25" s="1017" t="s">
        <v>831</v>
      </c>
      <c r="D25" s="1013"/>
      <c r="E25" s="1013"/>
      <c r="F25" s="1013"/>
      <c r="G25" s="1013"/>
      <c r="H25" s="1013"/>
      <c r="I25" s="1013"/>
      <c r="J25" s="1014"/>
      <c r="K25" s="1014"/>
      <c r="L25" s="1015"/>
      <c r="M25" s="989"/>
      <c r="N25" s="972"/>
    </row>
    <row r="26" spans="1:14">
      <c r="A26" s="985"/>
      <c r="B26" s="996">
        <v>1</v>
      </c>
      <c r="C26" s="997" t="s">
        <v>832</v>
      </c>
      <c r="D26" s="1018">
        <v>34934</v>
      </c>
      <c r="E26" s="998">
        <f>'נספח 2 לטופס 1 - פירוט א'!I23</f>
        <v>30742</v>
      </c>
      <c r="F26" s="998">
        <f>'נספח 2 לטופס 1 - פירוט ב'!K23</f>
        <v>0</v>
      </c>
      <c r="G26" s="998">
        <f t="shared" ref="G26:G42" si="5">D26+E26-F26+L26</f>
        <v>65676</v>
      </c>
      <c r="H26" s="998">
        <f>'נספח 2 לטופס 1 - פירוט ג'!J23</f>
        <v>30511</v>
      </c>
      <c r="I26" s="998">
        <f t="shared" ref="I26:I41" si="6">G26-H26</f>
        <v>35165</v>
      </c>
      <c r="J26" s="999"/>
      <c r="K26" s="999">
        <f t="shared" ref="K26:K43" si="7">IF(G26&gt;0,(H26/G26),0)</f>
        <v>0.4645684877276326</v>
      </c>
      <c r="L26" s="2669"/>
      <c r="M26" s="989"/>
      <c r="N26" s="972"/>
    </row>
    <row r="27" spans="1:14">
      <c r="A27" s="985"/>
      <c r="B27" s="996">
        <v>2</v>
      </c>
      <c r="C27" s="997" t="s">
        <v>833</v>
      </c>
      <c r="D27" s="1019">
        <v>2341</v>
      </c>
      <c r="E27" s="1000">
        <f>'נספח 2 לטופס 1 - פירוט א'!I24</f>
        <v>5125</v>
      </c>
      <c r="F27" s="1000">
        <f>'נספח 2 לטופס 1 - פירוט ב'!K24</f>
        <v>0</v>
      </c>
      <c r="G27" s="1000">
        <f t="shared" si="5"/>
        <v>7466</v>
      </c>
      <c r="H27" s="1000">
        <f>'נספח 2 לטופס 1 - פירוט ג'!J24</f>
        <v>4527</v>
      </c>
      <c r="I27" s="1000">
        <f t="shared" si="6"/>
        <v>2939</v>
      </c>
      <c r="J27" s="1001"/>
      <c r="K27" s="1001">
        <f t="shared" si="7"/>
        <v>0.6063487811411733</v>
      </c>
      <c r="L27" s="2669"/>
      <c r="M27" s="1020"/>
      <c r="N27" s="972"/>
    </row>
    <row r="28" spans="1:14">
      <c r="A28" s="985"/>
      <c r="B28" s="996">
        <v>3</v>
      </c>
      <c r="C28" s="997" t="s">
        <v>834</v>
      </c>
      <c r="D28" s="1019">
        <v>1483</v>
      </c>
      <c r="E28" s="1000">
        <f>'נספח 2 לטופס 1 - פירוט א'!I25</f>
        <v>762</v>
      </c>
      <c r="F28" s="1000">
        <f>'נספח 2 לטופס 1 - פירוט ב'!K25</f>
        <v>0</v>
      </c>
      <c r="G28" s="1000">
        <f t="shared" si="5"/>
        <v>2245</v>
      </c>
      <c r="H28" s="1000">
        <f>'נספח 2 לטופס 1 - פירוט ג'!J25</f>
        <v>589</v>
      </c>
      <c r="I28" s="1000">
        <f t="shared" si="6"/>
        <v>1656</v>
      </c>
      <c r="J28" s="1001"/>
      <c r="K28" s="1001">
        <f t="shared" si="7"/>
        <v>0.26236080178173721</v>
      </c>
      <c r="L28" s="2669"/>
      <c r="M28" s="989"/>
      <c r="N28" s="972"/>
    </row>
    <row r="29" spans="1:14">
      <c r="A29" s="985"/>
      <c r="B29" s="996">
        <v>4</v>
      </c>
      <c r="C29" s="997" t="s">
        <v>835</v>
      </c>
      <c r="D29" s="1019">
        <v>178</v>
      </c>
      <c r="E29" s="1000">
        <f>'נספח 2 לטופס 1 - פירוט א'!I26</f>
        <v>357</v>
      </c>
      <c r="F29" s="1000">
        <f>'נספח 2 לטופס 1 - פירוט ב'!K26</f>
        <v>108</v>
      </c>
      <c r="G29" s="1000">
        <f t="shared" si="5"/>
        <v>423</v>
      </c>
      <c r="H29" s="1000">
        <f>'נספח 2 לטופס 1 - פירוט ג'!J26</f>
        <v>225</v>
      </c>
      <c r="I29" s="1000">
        <f t="shared" si="6"/>
        <v>198</v>
      </c>
      <c r="J29" s="1001"/>
      <c r="K29" s="1001">
        <f t="shared" si="7"/>
        <v>0.53191489361702127</v>
      </c>
      <c r="L29" s="2669">
        <v>-4</v>
      </c>
      <c r="M29" s="989"/>
      <c r="N29" s="972"/>
    </row>
    <row r="30" spans="1:14">
      <c r="A30" s="985"/>
      <c r="B30" s="996">
        <v>5</v>
      </c>
      <c r="C30" s="997" t="s">
        <v>836</v>
      </c>
      <c r="D30" s="1019"/>
      <c r="E30" s="1000">
        <f>'נספח 2 לטופס 1 - פירוט א'!I27</f>
        <v>0</v>
      </c>
      <c r="F30" s="1000">
        <f>'נספח 2 לטופס 1 - פירוט ב'!K27</f>
        <v>0</v>
      </c>
      <c r="G30" s="1000">
        <f t="shared" si="5"/>
        <v>0</v>
      </c>
      <c r="H30" s="1000">
        <f>'נספח 2 לטופס 1 - פירוט ג'!J27</f>
        <v>0</v>
      </c>
      <c r="I30" s="1000">
        <f t="shared" si="6"/>
        <v>0</v>
      </c>
      <c r="J30" s="1001"/>
      <c r="K30" s="1001">
        <f t="shared" si="7"/>
        <v>0</v>
      </c>
      <c r="L30" s="2669"/>
      <c r="M30" s="989"/>
      <c r="N30" s="972"/>
    </row>
    <row r="31" spans="1:14">
      <c r="A31" s="989"/>
      <c r="B31" s="996">
        <v>6</v>
      </c>
      <c r="C31" s="997" t="s">
        <v>837</v>
      </c>
      <c r="D31" s="1019"/>
      <c r="E31" s="1000">
        <f>'נספח 2 לטופס 1 - פירוט א'!I28</f>
        <v>0</v>
      </c>
      <c r="F31" s="1000">
        <f>'נספח 2 לטופס 1 - פירוט ב'!K28</f>
        <v>0</v>
      </c>
      <c r="G31" s="1000">
        <f t="shared" si="5"/>
        <v>0</v>
      </c>
      <c r="H31" s="1000">
        <f>'נספח 2 לטופס 1 - פירוט ג'!J28</f>
        <v>0</v>
      </c>
      <c r="I31" s="1000">
        <f t="shared" si="6"/>
        <v>0</v>
      </c>
      <c r="J31" s="1001"/>
      <c r="K31" s="1001">
        <f t="shared" si="7"/>
        <v>0</v>
      </c>
      <c r="L31" s="2669"/>
      <c r="M31" s="989"/>
      <c r="N31" s="972"/>
    </row>
    <row r="32" spans="1:14">
      <c r="A32" s="989"/>
      <c r="B32" s="996">
        <v>7</v>
      </c>
      <c r="C32" s="997" t="s">
        <v>838</v>
      </c>
      <c r="D32" s="1019"/>
      <c r="E32" s="1000">
        <f>'נספח 2 לטופס 1 - פירוט א'!I29</f>
        <v>0</v>
      </c>
      <c r="F32" s="1000">
        <f>'נספח 2 לטופס 1 - פירוט ב'!K29</f>
        <v>0</v>
      </c>
      <c r="G32" s="1000">
        <f t="shared" si="5"/>
        <v>0</v>
      </c>
      <c r="H32" s="1000">
        <f>'נספח 2 לטופס 1 - פירוט ג'!J29</f>
        <v>0</v>
      </c>
      <c r="I32" s="1000">
        <f t="shared" si="6"/>
        <v>0</v>
      </c>
      <c r="J32" s="1001"/>
      <c r="K32" s="1001">
        <f t="shared" si="7"/>
        <v>0</v>
      </c>
      <c r="L32" s="2669"/>
      <c r="M32" s="989"/>
      <c r="N32" s="972"/>
    </row>
    <row r="33" spans="1:14">
      <c r="A33" s="989"/>
      <c r="B33" s="996">
        <v>8</v>
      </c>
      <c r="C33" s="997" t="s">
        <v>839</v>
      </c>
      <c r="D33" s="1019">
        <v>27017</v>
      </c>
      <c r="E33" s="1000">
        <f>'נספח 2 לטופס 1 - פירוט א'!I30</f>
        <v>179079</v>
      </c>
      <c r="F33" s="1000">
        <f>'נספח 2 לטופס 1 - פירוט ב'!K30</f>
        <v>0</v>
      </c>
      <c r="G33" s="1000">
        <f t="shared" si="5"/>
        <v>206096</v>
      </c>
      <c r="H33" s="1000">
        <f>'נספח 2 לטופס 1 - פירוט ג'!J30</f>
        <v>172102</v>
      </c>
      <c r="I33" s="1000">
        <f t="shared" si="6"/>
        <v>33994</v>
      </c>
      <c r="J33" s="1001"/>
      <c r="K33" s="1001">
        <f t="shared" si="7"/>
        <v>0.83505744895582645</v>
      </c>
      <c r="L33" s="2669"/>
      <c r="M33" s="989"/>
      <c r="N33" s="972"/>
    </row>
    <row r="34" spans="1:14">
      <c r="A34" s="989"/>
      <c r="B34" s="996">
        <v>9</v>
      </c>
      <c r="C34" s="997" t="s">
        <v>840</v>
      </c>
      <c r="D34" s="1019">
        <v>76537</v>
      </c>
      <c r="E34" s="1000">
        <f>'נספח 2 לטופס 1 - פירוט א'!I31</f>
        <v>54319</v>
      </c>
      <c r="F34" s="1000">
        <f>'נספח 2 לטופס 1 - פירוט ב'!K31</f>
        <v>9120</v>
      </c>
      <c r="G34" s="1000">
        <f t="shared" si="5"/>
        <v>121736</v>
      </c>
      <c r="H34" s="1000">
        <f>'נספח 2 לטופס 1 - פירוט ג'!J31</f>
        <v>45119</v>
      </c>
      <c r="I34" s="1000">
        <f t="shared" si="6"/>
        <v>76617</v>
      </c>
      <c r="J34" s="1001"/>
      <c r="K34" s="1001">
        <f t="shared" si="7"/>
        <v>0.37062988762568183</v>
      </c>
      <c r="L34" s="2669"/>
      <c r="M34" s="989"/>
      <c r="N34" s="972"/>
    </row>
    <row r="35" spans="1:14">
      <c r="A35" s="989"/>
      <c r="B35" s="996">
        <v>10</v>
      </c>
      <c r="C35" s="997" t="s">
        <v>841</v>
      </c>
      <c r="D35" s="1019">
        <v>-3718</v>
      </c>
      <c r="E35" s="1000">
        <f>'נספח 2 לטופס 1 - פירוט א'!I32</f>
        <v>12741</v>
      </c>
      <c r="F35" s="1000">
        <f>'נספח 2 לטופס 1 - פירוט ב'!K32</f>
        <v>0</v>
      </c>
      <c r="G35" s="1000">
        <f t="shared" si="5"/>
        <v>9023</v>
      </c>
      <c r="H35" s="1000">
        <f>'נספח 2 לטופס 1 - פירוט ג'!J32</f>
        <v>12498</v>
      </c>
      <c r="I35" s="1000">
        <f t="shared" si="6"/>
        <v>-3475</v>
      </c>
      <c r="J35" s="1001"/>
      <c r="K35" s="1001">
        <f t="shared" si="7"/>
        <v>1.3851268979275186</v>
      </c>
      <c r="L35" s="2669"/>
      <c r="M35" s="989"/>
      <c r="N35" s="972"/>
    </row>
    <row r="36" spans="1:14">
      <c r="A36" s="989"/>
      <c r="B36" s="996">
        <v>11</v>
      </c>
      <c r="C36" s="997" t="s">
        <v>842</v>
      </c>
      <c r="D36" s="1019">
        <v>147</v>
      </c>
      <c r="E36" s="1000">
        <f>'נספח 2 לטופס 1 - פירוט א'!I33</f>
        <v>79</v>
      </c>
      <c r="F36" s="1000">
        <f>'נספח 2 לטופס 1 - פירוט ב'!K33</f>
        <v>0</v>
      </c>
      <c r="G36" s="1000">
        <f t="shared" si="5"/>
        <v>226</v>
      </c>
      <c r="H36" s="1000">
        <f>'נספח 2 לטופס 1 - פירוט ג'!J33</f>
        <v>173</v>
      </c>
      <c r="I36" s="1000">
        <f t="shared" si="6"/>
        <v>53</v>
      </c>
      <c r="J36" s="1001"/>
      <c r="K36" s="1001">
        <f t="shared" si="7"/>
        <v>0.76548672566371678</v>
      </c>
      <c r="L36" s="2669"/>
      <c r="M36" s="989"/>
      <c r="N36" s="972"/>
    </row>
    <row r="37" spans="1:14">
      <c r="A37" s="989"/>
      <c r="B37" s="996">
        <v>12</v>
      </c>
      <c r="C37" s="997" t="s">
        <v>843</v>
      </c>
      <c r="D37" s="1019"/>
      <c r="E37" s="1000">
        <f>'נספח 2 לטופס 1 - פירוט א'!I34</f>
        <v>0</v>
      </c>
      <c r="F37" s="1000">
        <f>'נספח 2 לטופס 1 - פירוט ב'!K34</f>
        <v>0</v>
      </c>
      <c r="G37" s="1000">
        <f t="shared" si="5"/>
        <v>0</v>
      </c>
      <c r="H37" s="1000">
        <f>'נספח 2 לטופס 1 - פירוט ג'!J34</f>
        <v>0</v>
      </c>
      <c r="I37" s="1000">
        <f t="shared" si="6"/>
        <v>0</v>
      </c>
      <c r="J37" s="1001"/>
      <c r="K37" s="1001">
        <f t="shared" si="7"/>
        <v>0</v>
      </c>
      <c r="L37" s="2669"/>
      <c r="M37" s="989"/>
      <c r="N37" s="972"/>
    </row>
    <row r="38" spans="1:14">
      <c r="A38" s="989"/>
      <c r="B38" s="996">
        <v>13</v>
      </c>
      <c r="C38" s="997" t="s">
        <v>489</v>
      </c>
      <c r="D38" s="1019"/>
      <c r="E38" s="1000">
        <f>'נספח 2 לטופס 1 - פירוט א'!I35</f>
        <v>0</v>
      </c>
      <c r="F38" s="1000">
        <f>'נספח 2 לטופס 1 - פירוט ב'!K35</f>
        <v>0</v>
      </c>
      <c r="G38" s="1000">
        <f t="shared" si="5"/>
        <v>0</v>
      </c>
      <c r="H38" s="1000">
        <f>'נספח 2 לטופס 1 - פירוט ג'!J35</f>
        <v>0</v>
      </c>
      <c r="I38" s="1000">
        <f t="shared" si="6"/>
        <v>0</v>
      </c>
      <c r="J38" s="1001"/>
      <c r="K38" s="1001">
        <f t="shared" si="7"/>
        <v>0</v>
      </c>
      <c r="L38" s="2669"/>
      <c r="M38" s="989"/>
      <c r="N38" s="972"/>
    </row>
    <row r="39" spans="1:14">
      <c r="A39" s="989"/>
      <c r="B39" s="996">
        <v>14</v>
      </c>
      <c r="C39" s="1002" t="s">
        <v>2405</v>
      </c>
      <c r="D39" s="1019">
        <v>13439</v>
      </c>
      <c r="E39" s="1000">
        <f>'נספח 2 לטופס 1 - פירוט א'!I36</f>
        <v>6389</v>
      </c>
      <c r="F39" s="1000">
        <f>'נספח 2 לטופס 1 - פירוט ב'!K36</f>
        <v>5801</v>
      </c>
      <c r="G39" s="1000">
        <f t="shared" si="5"/>
        <v>13769</v>
      </c>
      <c r="H39" s="1000">
        <f>'נספח 2 לטופס 1 - פירוט ג'!J36</f>
        <v>485</v>
      </c>
      <c r="I39" s="1000">
        <f t="shared" si="6"/>
        <v>13284</v>
      </c>
      <c r="J39" s="1001"/>
      <c r="K39" s="1001">
        <f t="shared" si="7"/>
        <v>3.5224054034425155E-2</v>
      </c>
      <c r="L39" s="2669">
        <v>-258</v>
      </c>
      <c r="M39" s="989"/>
      <c r="N39" s="972"/>
    </row>
    <row r="40" spans="1:14">
      <c r="A40" s="989"/>
      <c r="B40" s="996">
        <v>15</v>
      </c>
      <c r="C40" s="1002" t="s">
        <v>2252</v>
      </c>
      <c r="D40" s="1021">
        <v>21837</v>
      </c>
      <c r="E40" s="1004">
        <f>'נספח 2 לטופס 1 - פירוט א'!I37</f>
        <v>7898</v>
      </c>
      <c r="F40" s="1004">
        <f>'נספח 2 לטופס 1 - פירוט ב'!K37</f>
        <v>18</v>
      </c>
      <c r="G40" s="1004">
        <f t="shared" si="5"/>
        <v>29704</v>
      </c>
      <c r="H40" s="1004">
        <f>'נספח 2 לטופס 1 - פירוט ג'!J37</f>
        <v>9340</v>
      </c>
      <c r="I40" s="1004">
        <f>G40-H40</f>
        <v>20364</v>
      </c>
      <c r="J40" s="1006"/>
      <c r="K40" s="1006">
        <f t="shared" si="7"/>
        <v>0.31443576622677083</v>
      </c>
      <c r="L40" s="2669">
        <v>-13</v>
      </c>
      <c r="M40" s="989"/>
      <c r="N40" s="972"/>
    </row>
    <row r="41" spans="1:14">
      <c r="A41" s="989"/>
      <c r="B41" s="996">
        <v>16</v>
      </c>
      <c r="C41" s="997" t="s">
        <v>805</v>
      </c>
      <c r="D41" s="1019">
        <v>0</v>
      </c>
      <c r="E41" s="1000">
        <f>'נספח 2 לטופס 1 - פירוט א'!I38</f>
        <v>1</v>
      </c>
      <c r="F41" s="1000">
        <f>'נספח 2 לטופס 1 - פירוט ב'!K38</f>
        <v>0</v>
      </c>
      <c r="G41" s="1000">
        <f t="shared" si="5"/>
        <v>1</v>
      </c>
      <c r="H41" s="1000">
        <f>'נספח 2 לטופס 1 - פירוט ג'!J38</f>
        <v>1</v>
      </c>
      <c r="I41" s="1000">
        <f t="shared" si="6"/>
        <v>0</v>
      </c>
      <c r="J41" s="1001"/>
      <c r="K41" s="1001">
        <f t="shared" si="7"/>
        <v>1</v>
      </c>
      <c r="L41" s="2669"/>
      <c r="M41" s="989"/>
      <c r="N41" s="972"/>
    </row>
    <row r="42" spans="1:14">
      <c r="A42" s="989"/>
      <c r="B42" s="996">
        <v>17</v>
      </c>
      <c r="C42" s="997" t="s">
        <v>1289</v>
      </c>
      <c r="D42" s="2619">
        <v>125708</v>
      </c>
      <c r="E42" s="2620">
        <f>'נספח 2 לטופס 1 - פירוט א'!I39</f>
        <v>-42266</v>
      </c>
      <c r="F42" s="2620">
        <f>'נספח 2 לטופס 1 - פירוט ב'!K39</f>
        <v>0</v>
      </c>
      <c r="G42" s="2620">
        <f t="shared" si="5"/>
        <v>83717</v>
      </c>
      <c r="H42" s="2620">
        <f>'נספח 2 לטופס 1 - פירוט ג'!J39</f>
        <v>0</v>
      </c>
      <c r="I42" s="2620">
        <f>G42-H42</f>
        <v>83717</v>
      </c>
      <c r="J42" s="2621"/>
      <c r="K42" s="2621">
        <f t="shared" si="7"/>
        <v>0</v>
      </c>
      <c r="L42" s="2669">
        <v>275</v>
      </c>
      <c r="M42" s="989"/>
      <c r="N42" s="972"/>
    </row>
    <row r="43" spans="1:14">
      <c r="A43" s="989"/>
      <c r="B43" s="1007"/>
      <c r="C43" s="1008" t="s">
        <v>844</v>
      </c>
      <c r="D43" s="1009">
        <f t="shared" ref="D43:I43" si="8">SUM(D26:D42)</f>
        <v>299903</v>
      </c>
      <c r="E43" s="1010">
        <f t="shared" si="8"/>
        <v>255226</v>
      </c>
      <c r="F43" s="1010">
        <f t="shared" si="8"/>
        <v>15047</v>
      </c>
      <c r="G43" s="1010">
        <f t="shared" si="8"/>
        <v>540082</v>
      </c>
      <c r="H43" s="1010">
        <f t="shared" si="8"/>
        <v>275570</v>
      </c>
      <c r="I43" s="1010">
        <f t="shared" si="8"/>
        <v>264512</v>
      </c>
      <c r="J43" s="1012"/>
      <c r="K43" s="1012">
        <f t="shared" si="7"/>
        <v>0.51023733433071272</v>
      </c>
      <c r="L43" s="1101">
        <f>SUM(L26:L42)</f>
        <v>0</v>
      </c>
      <c r="M43" s="989"/>
      <c r="N43" s="972"/>
    </row>
    <row r="44" spans="1:14" ht="3" customHeight="1">
      <c r="A44" s="989"/>
      <c r="B44" s="996"/>
      <c r="C44" s="1008"/>
      <c r="D44" s="1013"/>
      <c r="E44" s="1013"/>
      <c r="F44" s="1013"/>
      <c r="G44" s="1013"/>
      <c r="H44" s="1013"/>
      <c r="I44" s="1013"/>
      <c r="J44" s="1014"/>
      <c r="K44" s="1014"/>
      <c r="L44" s="1015"/>
      <c r="M44" s="195"/>
      <c r="N44" s="178"/>
    </row>
    <row r="45" spans="1:14" ht="13.8" thickBot="1">
      <c r="A45" s="989"/>
      <c r="B45" s="1007"/>
      <c r="C45" s="997" t="s">
        <v>845</v>
      </c>
      <c r="D45" s="1022">
        <f t="shared" ref="D45:I45" si="9">D23+D43</f>
        <v>625093</v>
      </c>
      <c r="E45" s="1023">
        <f t="shared" si="9"/>
        <v>814814.79</v>
      </c>
      <c r="F45" s="1023">
        <f t="shared" si="9"/>
        <v>87731</v>
      </c>
      <c r="G45" s="1023">
        <f t="shared" si="9"/>
        <v>1352176.79</v>
      </c>
      <c r="H45" s="1023">
        <f t="shared" si="9"/>
        <v>768428</v>
      </c>
      <c r="I45" s="1024">
        <f t="shared" si="9"/>
        <v>583748.79</v>
      </c>
      <c r="J45" s="1025"/>
      <c r="K45" s="1025">
        <f>IF(G45&gt;0,(H45/G45),0)</f>
        <v>0.56828959473561147</v>
      </c>
      <c r="L45" s="1199">
        <f>L23+L43</f>
        <v>0</v>
      </c>
      <c r="M45" s="195"/>
      <c r="N45" s="178"/>
    </row>
    <row r="46" spans="1:14" ht="13.8" thickTop="1">
      <c r="A46" s="989"/>
      <c r="B46" s="1007"/>
      <c r="C46" s="997" t="s">
        <v>846</v>
      </c>
      <c r="D46" s="1018">
        <v>687840</v>
      </c>
      <c r="E46" s="1026">
        <v>753427</v>
      </c>
      <c r="F46" s="1026">
        <v>69486</v>
      </c>
      <c r="G46" s="998">
        <f>D46+E46-F46+L46</f>
        <v>1371781</v>
      </c>
      <c r="H46" s="1027">
        <v>746688</v>
      </c>
      <c r="I46" s="1027">
        <v>625093</v>
      </c>
      <c r="J46" s="999"/>
      <c r="K46" s="999">
        <f>IF(G46&gt;0,(H46/G46),0)</f>
        <v>0.54432012106888783</v>
      </c>
      <c r="L46" s="3146"/>
      <c r="M46" s="989"/>
      <c r="N46" s="972"/>
    </row>
    <row r="47" spans="1:14">
      <c r="A47" s="989"/>
      <c r="B47" s="1007"/>
      <c r="C47" s="997" t="s">
        <v>848</v>
      </c>
      <c r="D47" s="1019">
        <v>608699</v>
      </c>
      <c r="E47" s="1028">
        <v>776010</v>
      </c>
      <c r="F47" s="1028">
        <v>45376</v>
      </c>
      <c r="G47" s="1000">
        <f>D47+E47-F47+L47</f>
        <v>1339333</v>
      </c>
      <c r="H47" s="1029">
        <v>651493</v>
      </c>
      <c r="I47" s="1029">
        <v>687840</v>
      </c>
      <c r="J47" s="1001"/>
      <c r="K47" s="1001">
        <f>IF(G47&gt;0,(H47/G47),0)</f>
        <v>0.48643093241187962</v>
      </c>
      <c r="L47" s="3146"/>
      <c r="M47" s="989"/>
      <c r="N47" s="972"/>
    </row>
    <row r="48" spans="1:14">
      <c r="A48" s="989"/>
      <c r="B48" s="1007"/>
      <c r="C48" s="3151" t="s">
        <v>2599</v>
      </c>
      <c r="D48" s="997"/>
      <c r="E48" s="997"/>
      <c r="F48" s="997"/>
      <c r="G48" s="997"/>
      <c r="H48" s="997"/>
      <c r="I48" s="997"/>
      <c r="J48" s="997"/>
      <c r="K48" s="997"/>
      <c r="L48" s="1086"/>
      <c r="M48" s="989"/>
      <c r="N48" s="972"/>
    </row>
    <row r="49" spans="1:14" ht="12.75" customHeight="1">
      <c r="A49" s="989"/>
      <c r="B49" s="1030"/>
      <c r="C49" s="2938" t="s">
        <v>2592</v>
      </c>
      <c r="D49" s="1031"/>
      <c r="E49" s="1031"/>
      <c r="F49" s="1031"/>
      <c r="G49" s="1031"/>
      <c r="H49" s="1031"/>
      <c r="I49" s="1031"/>
      <c r="J49" s="1032"/>
      <c r="K49" s="1031"/>
      <c r="L49" s="1033"/>
      <c r="M49" s="989"/>
      <c r="N49" s="972"/>
    </row>
    <row r="50" spans="1:14" ht="13.8" thickBot="1">
      <c r="A50" s="989"/>
      <c r="B50" s="989"/>
      <c r="C50" s="989"/>
      <c r="D50" s="1034"/>
      <c r="E50" s="1034"/>
      <c r="F50" s="1034"/>
      <c r="G50" s="1034"/>
      <c r="H50" s="1034"/>
      <c r="I50" s="1034"/>
      <c r="J50" s="1034"/>
      <c r="K50" s="1034"/>
      <c r="L50" s="1034"/>
      <c r="M50" s="1035"/>
      <c r="N50" s="1036"/>
    </row>
    <row r="51" spans="1:14" ht="13.8" thickTop="1">
      <c r="A51" s="1037"/>
      <c r="B51" s="1037"/>
      <c r="C51" s="1037"/>
      <c r="D51" s="1038"/>
      <c r="E51" s="1038"/>
      <c r="F51" s="1038"/>
      <c r="G51" s="1038"/>
      <c r="H51" s="1038"/>
      <c r="I51" s="1038"/>
      <c r="J51" s="1038"/>
      <c r="K51" s="1038"/>
      <c r="L51" s="1038"/>
      <c r="M51" s="1039"/>
      <c r="N51" s="1040"/>
    </row>
    <row r="52" spans="1:14">
      <c r="C52" s="1041"/>
      <c r="D52" s="1042"/>
      <c r="F52" s="1042"/>
      <c r="G52" s="1042"/>
      <c r="H52" s="1042"/>
      <c r="I52" s="1043"/>
      <c r="J52" s="1044"/>
      <c r="K52" s="1044"/>
      <c r="L52" s="1044"/>
      <c r="M52" s="1043"/>
      <c r="N52" s="1040"/>
    </row>
    <row r="53" spans="1:14">
      <c r="D53" s="1042"/>
      <c r="E53" s="1042"/>
      <c r="F53" s="1042"/>
      <c r="G53" s="1042"/>
      <c r="H53" s="1042"/>
      <c r="I53" s="1044"/>
      <c r="J53" s="1044"/>
      <c r="K53" s="1044"/>
      <c r="L53" s="1044"/>
      <c r="M53" s="1043"/>
      <c r="N53" s="1040"/>
    </row>
    <row r="54" spans="1:14">
      <c r="C54" s="1045"/>
      <c r="D54" s="1044"/>
      <c r="E54" s="1044"/>
      <c r="F54" s="1042"/>
      <c r="G54" s="1042"/>
      <c r="H54" s="1042"/>
      <c r="I54" s="1042"/>
      <c r="J54" s="1042"/>
      <c r="K54" s="1042"/>
      <c r="L54" s="1042"/>
      <c r="M54" s="1040"/>
      <c r="N54" s="1040"/>
    </row>
    <row r="55" spans="1:14">
      <c r="C55" s="1045"/>
      <c r="D55" s="1044"/>
      <c r="E55" s="1044"/>
      <c r="F55" s="1042"/>
      <c r="G55" s="1042"/>
      <c r="H55" s="1042"/>
      <c r="I55" s="1042"/>
      <c r="J55" s="1042"/>
      <c r="K55" s="1042"/>
      <c r="L55" s="1042"/>
      <c r="M55" s="1040"/>
      <c r="N55" s="1040"/>
    </row>
    <row r="56" spans="1:14">
      <c r="C56" s="1045"/>
      <c r="D56" s="1045"/>
      <c r="E56" s="1044"/>
      <c r="F56" s="1042"/>
      <c r="G56" s="1042"/>
      <c r="H56" s="1042"/>
      <c r="I56" s="1042"/>
      <c r="J56" s="1042"/>
      <c r="K56" s="1042"/>
      <c r="L56" s="1042"/>
      <c r="M56" s="1040"/>
      <c r="N56" s="1040"/>
    </row>
    <row r="57" spans="1:14">
      <c r="C57" s="1045"/>
      <c r="D57" s="1044"/>
      <c r="E57" s="1044"/>
      <c r="F57" s="1042"/>
      <c r="G57" s="1042"/>
      <c r="H57" s="1042"/>
      <c r="I57" s="1042"/>
      <c r="J57" s="1042"/>
      <c r="K57" s="1042"/>
      <c r="L57" s="1042"/>
      <c r="M57" s="1040"/>
      <c r="N57" s="1040"/>
    </row>
    <row r="58" spans="1:14">
      <c r="C58" s="1045"/>
      <c r="D58" s="1044"/>
      <c r="E58" s="1044"/>
      <c r="F58" s="1042"/>
      <c r="G58" s="1042"/>
      <c r="H58" s="1042"/>
      <c r="I58" s="1042"/>
      <c r="J58" s="1042"/>
      <c r="K58" s="1042"/>
      <c r="L58" s="1042"/>
      <c r="M58" s="1040"/>
      <c r="N58" s="1040"/>
    </row>
    <row r="59" spans="1:14">
      <c r="C59" s="1045"/>
      <c r="D59" s="1044"/>
      <c r="E59" s="1044"/>
      <c r="F59" s="1042"/>
      <c r="G59" s="1042"/>
      <c r="H59" s="1042"/>
      <c r="I59" s="1042"/>
      <c r="J59" s="1042"/>
      <c r="K59" s="1042"/>
      <c r="L59" s="1042"/>
      <c r="M59" s="1040"/>
      <c r="N59" s="1040"/>
    </row>
    <row r="60" spans="1:14">
      <c r="C60" s="1045"/>
      <c r="D60" s="1044"/>
      <c r="E60" s="1044"/>
      <c r="F60" s="1042"/>
      <c r="G60" s="1042"/>
      <c r="H60" s="1042"/>
      <c r="I60" s="1042"/>
      <c r="J60" s="1042"/>
      <c r="K60" s="1042"/>
      <c r="L60" s="1042"/>
      <c r="M60" s="1040"/>
      <c r="N60" s="1040"/>
    </row>
    <row r="61" spans="1:14">
      <c r="C61" s="1045"/>
      <c r="D61" s="1044"/>
      <c r="E61" s="1044"/>
      <c r="F61" s="1042"/>
      <c r="G61" s="1042"/>
      <c r="H61" s="1042"/>
      <c r="I61" s="1042"/>
      <c r="J61" s="1042"/>
      <c r="K61" s="1042"/>
      <c r="L61" s="1042"/>
      <c r="M61" s="1040"/>
      <c r="N61" s="1040"/>
    </row>
    <row r="62" spans="1:14">
      <c r="C62" s="1045"/>
      <c r="D62" s="1044"/>
      <c r="E62" s="1044"/>
      <c r="F62" s="1042"/>
      <c r="G62" s="1042"/>
      <c r="H62" s="1042"/>
      <c r="I62" s="1042"/>
      <c r="J62" s="1042"/>
      <c r="K62" s="1042"/>
      <c r="L62" s="1042"/>
      <c r="M62" s="1040"/>
      <c r="N62" s="1040"/>
    </row>
    <row r="63" spans="1:14">
      <c r="C63" s="1045"/>
      <c r="D63" s="1044"/>
      <c r="E63" s="1044"/>
      <c r="F63" s="1042"/>
      <c r="G63" s="1042"/>
      <c r="H63" s="1042"/>
      <c r="I63" s="1042"/>
      <c r="J63" s="1042"/>
      <c r="K63" s="1042"/>
      <c r="L63" s="1042"/>
      <c r="M63" s="1040"/>
      <c r="N63" s="1040"/>
    </row>
    <row r="64" spans="1:14">
      <c r="C64" s="1045"/>
      <c r="D64" s="1044"/>
      <c r="E64" s="1044"/>
      <c r="F64" s="1042"/>
      <c r="G64" s="1042"/>
      <c r="H64" s="1042"/>
      <c r="I64" s="1042"/>
      <c r="J64" s="1042"/>
      <c r="K64" s="1042"/>
      <c r="L64" s="1042"/>
      <c r="M64" s="1040"/>
      <c r="N64" s="1040"/>
    </row>
    <row r="65" spans="3:14">
      <c r="C65" s="1045"/>
      <c r="D65" s="1044"/>
      <c r="E65" s="1044"/>
      <c r="F65" s="1042"/>
      <c r="G65" s="1042"/>
      <c r="H65" s="1042"/>
      <c r="I65" s="1042"/>
      <c r="J65" s="1042"/>
      <c r="K65" s="1042"/>
      <c r="L65" s="1042"/>
      <c r="M65" s="1040"/>
      <c r="N65" s="1040"/>
    </row>
    <row r="66" spans="3:14">
      <c r="C66" s="1045"/>
      <c r="D66" s="1044"/>
      <c r="E66" s="1044"/>
      <c r="F66" s="1042"/>
      <c r="G66" s="1042"/>
      <c r="H66" s="1042"/>
      <c r="I66" s="1042"/>
      <c r="J66" s="1042"/>
      <c r="K66" s="1042"/>
      <c r="L66" s="1042"/>
    </row>
    <row r="67" spans="3:14">
      <c r="C67" s="1045"/>
      <c r="D67" s="1044"/>
      <c r="E67" s="1044"/>
      <c r="F67" s="1042"/>
      <c r="G67" s="1042"/>
      <c r="H67" s="1042"/>
      <c r="I67" s="1042"/>
      <c r="J67" s="1042"/>
      <c r="K67" s="1042"/>
      <c r="L67" s="1042"/>
    </row>
    <row r="68" spans="3:14">
      <c r="C68" s="1045"/>
      <c r="D68" s="1044"/>
      <c r="E68" s="1044"/>
      <c r="F68" s="1042"/>
      <c r="G68" s="1042"/>
      <c r="H68" s="1042"/>
      <c r="I68" s="1042"/>
      <c r="J68" s="1042"/>
      <c r="K68" s="1042"/>
      <c r="L68" s="1042"/>
    </row>
    <row r="69" spans="3:14">
      <c r="C69" s="1045"/>
      <c r="D69" s="1044"/>
      <c r="E69" s="1044"/>
      <c r="F69" s="1042"/>
      <c r="G69" s="1042"/>
      <c r="H69" s="1042"/>
      <c r="I69" s="1042"/>
      <c r="J69" s="1042"/>
      <c r="K69" s="1042"/>
      <c r="L69" s="1042"/>
    </row>
    <row r="70" spans="3:14">
      <c r="C70" s="1045"/>
      <c r="D70" s="1044"/>
      <c r="E70" s="1044"/>
      <c r="F70" s="1042"/>
      <c r="G70" s="1042"/>
      <c r="H70" s="1042"/>
      <c r="I70" s="1042"/>
      <c r="J70" s="1042"/>
      <c r="K70" s="1042"/>
      <c r="L70" s="1042"/>
    </row>
    <row r="71" spans="3:14">
      <c r="C71" s="1045"/>
      <c r="D71" s="1044"/>
      <c r="E71" s="1044"/>
      <c r="F71" s="1042"/>
      <c r="G71" s="1042"/>
      <c r="H71" s="1042"/>
      <c r="I71" s="1042"/>
      <c r="J71" s="1042"/>
      <c r="K71" s="1042"/>
      <c r="L71" s="1042"/>
    </row>
    <row r="72" spans="3:14">
      <c r="C72" s="1045"/>
      <c r="D72" s="1044"/>
      <c r="E72" s="1044"/>
      <c r="F72" s="1042"/>
      <c r="G72" s="1042"/>
      <c r="H72" s="1042"/>
      <c r="I72" s="1042"/>
      <c r="J72" s="1042"/>
      <c r="K72" s="1042"/>
      <c r="L72" s="1042"/>
    </row>
    <row r="73" spans="3:14">
      <c r="C73" s="1045"/>
      <c r="D73" s="1044"/>
      <c r="E73" s="1044"/>
      <c r="F73" s="1042"/>
      <c r="G73" s="1042"/>
      <c r="H73" s="1042"/>
      <c r="I73" s="1042"/>
      <c r="J73" s="1042"/>
      <c r="K73" s="1042"/>
      <c r="L73" s="1042"/>
    </row>
    <row r="74" spans="3:14">
      <c r="C74" s="1045"/>
      <c r="D74" s="1044"/>
      <c r="E74" s="1044"/>
      <c r="F74" s="1042"/>
      <c r="G74" s="1042"/>
      <c r="H74" s="1042"/>
      <c r="I74" s="1042"/>
      <c r="J74" s="1042"/>
      <c r="K74" s="1042"/>
      <c r="L74" s="1042"/>
    </row>
    <row r="75" spans="3:14">
      <c r="C75" s="1045"/>
      <c r="D75" s="1044"/>
      <c r="E75" s="1044"/>
      <c r="F75" s="1042"/>
      <c r="G75" s="1042"/>
      <c r="H75" s="1042"/>
      <c r="I75" s="1042"/>
      <c r="J75" s="1042"/>
      <c r="K75" s="1042"/>
      <c r="L75" s="1042"/>
    </row>
    <row r="76" spans="3:14">
      <c r="C76" s="1045"/>
      <c r="D76" s="1045"/>
      <c r="E76" s="1045"/>
    </row>
    <row r="77" spans="3:14">
      <c r="C77" s="1045"/>
      <c r="D77" s="1045"/>
      <c r="E77" s="1044"/>
    </row>
    <row r="78" spans="3:14">
      <c r="C78" s="1045"/>
      <c r="D78" s="1045"/>
      <c r="E78" s="1045"/>
    </row>
    <row r="205" spans="2:12" ht="15.6">
      <c r="B205" s="3525" t="str">
        <f>E1</f>
        <v>עירית הרצליה</v>
      </c>
      <c r="C205" s="3525"/>
      <c r="D205" s="3525"/>
      <c r="E205" s="3525"/>
      <c r="F205" s="3525"/>
      <c r="G205" s="3525"/>
      <c r="H205" s="3525"/>
      <c r="I205" s="3525"/>
      <c r="J205" s="3525"/>
      <c r="K205" s="3525"/>
      <c r="L205" s="3525"/>
    </row>
    <row r="206" spans="2:12" ht="15.6">
      <c r="B206" s="3525" t="str">
        <f>E2</f>
        <v>הדוח הכספי לשנת 2015</v>
      </c>
      <c r="C206" s="3525"/>
      <c r="D206" s="3525"/>
      <c r="E206" s="3525"/>
      <c r="F206" s="3525"/>
      <c r="G206" s="3525"/>
      <c r="H206" s="3525"/>
      <c r="I206" s="3525"/>
      <c r="J206" s="3525"/>
      <c r="K206" s="3525"/>
      <c r="L206" s="3525"/>
    </row>
    <row r="207" spans="2:12" ht="15.6">
      <c r="B207" s="3525" t="str">
        <f>E3</f>
        <v>מצב חשבון החייבים בעד ארנונות, הטלים והשתתפויות לפי נתוני אגף הגביה (אלפי ש"ח)</v>
      </c>
      <c r="C207" s="3525"/>
      <c r="D207" s="3525"/>
      <c r="E207" s="3525"/>
      <c r="F207" s="3525"/>
      <c r="G207" s="3525"/>
      <c r="H207" s="3525"/>
      <c r="I207" s="3525"/>
      <c r="J207" s="3525"/>
      <c r="K207" s="3525"/>
      <c r="L207" s="3525"/>
    </row>
    <row r="208" spans="2:12" ht="4.5" customHeight="1"/>
    <row r="209" spans="2:12" ht="4.5" customHeight="1"/>
    <row r="210" spans="2:12" ht="3" customHeight="1"/>
    <row r="211" spans="2:12" ht="10.5" customHeight="1">
      <c r="B211" s="3523">
        <f>B5</f>
        <v>0</v>
      </c>
      <c r="C211" s="3523">
        <f>C5</f>
        <v>0</v>
      </c>
      <c r="D211" s="3521" t="str">
        <f>D5</f>
        <v>יתרה לתחילת השנה</v>
      </c>
      <c r="E211" s="3521" t="str">
        <f>E5</f>
        <v>חיוב בשנת החשבון</v>
      </c>
      <c r="F211" s="3521" t="str">
        <f>F5</f>
        <v>סה"כ פטורים, שחרורים והנחות</v>
      </c>
      <c r="G211" s="3519" t="str">
        <f>L5</f>
        <v>העברה ל / מ חובות מסופקים</v>
      </c>
      <c r="H211" s="3519" t="str">
        <f>G5</f>
        <v>סה"כ חיובים נטו</v>
      </c>
      <c r="I211" s="3519" t="str">
        <f>H5</f>
        <v>סה"כ גביות בשנת הדוח</v>
      </c>
      <c r="J211" s="3521"/>
      <c r="K211" s="3519" t="str">
        <f>I5</f>
        <v xml:space="preserve">יתרה לסוף השנה </v>
      </c>
      <c r="L211" s="3519" t="str">
        <f>K5</f>
        <v>יחס גביה ב - % לכלל החיובים</v>
      </c>
    </row>
    <row r="212" spans="2:12" ht="26.25" customHeight="1">
      <c r="B212" s="3524"/>
      <c r="C212" s="3524"/>
      <c r="D212" s="3522"/>
      <c r="E212" s="3520"/>
      <c r="F212" s="3520"/>
      <c r="G212" s="3520"/>
      <c r="H212" s="3520"/>
      <c r="I212" s="3520"/>
      <c r="J212" s="3520"/>
      <c r="K212" s="3520"/>
      <c r="L212" s="3520"/>
    </row>
    <row r="213" spans="2:12">
      <c r="B213" s="2795" t="str">
        <f>B7</f>
        <v>מס.</v>
      </c>
      <c r="C213" s="2796" t="str">
        <f>C7</f>
        <v>שם החשבון</v>
      </c>
      <c r="D213" s="1046">
        <f>D7</f>
        <v>0</v>
      </c>
      <c r="E213" s="1046" t="str">
        <f>E7</f>
        <v>(פירוט א)</v>
      </c>
      <c r="F213" s="1047" t="str">
        <f>F7</f>
        <v>(פירוט ב)</v>
      </c>
      <c r="G213" s="1048"/>
      <c r="H213" s="1047">
        <f>G7</f>
        <v>0</v>
      </c>
      <c r="I213" s="1047" t="str">
        <f>H7</f>
        <v>(פירוט ג)</v>
      </c>
      <c r="J213" s="1047"/>
      <c r="K213" s="1048"/>
      <c r="L213" s="1048"/>
    </row>
    <row r="214" spans="2:12" ht="0.75" customHeight="1">
      <c r="B214" s="2795"/>
      <c r="C214" s="2796">
        <f t="shared" ref="B214:D217" si="10">C8</f>
        <v>0</v>
      </c>
      <c r="D214" s="1049">
        <f t="shared" si="10"/>
        <v>0</v>
      </c>
      <c r="E214" s="1049"/>
      <c r="F214" s="1049"/>
      <c r="G214" s="1050">
        <f>L8</f>
        <v>0</v>
      </c>
      <c r="H214" s="1049"/>
      <c r="I214" s="1050">
        <f t="shared" ref="I214:I253" si="11">H8</f>
        <v>0</v>
      </c>
      <c r="J214" s="1049"/>
      <c r="K214" s="1049"/>
      <c r="L214" s="1049"/>
    </row>
    <row r="215" spans="2:12" hidden="1">
      <c r="B215" s="1051">
        <f t="shared" si="10"/>
        <v>0</v>
      </c>
      <c r="C215" s="1051">
        <f t="shared" si="10"/>
        <v>0</v>
      </c>
      <c r="D215" s="1052">
        <f t="shared" si="10"/>
        <v>0</v>
      </c>
      <c r="E215" s="1052">
        <f>E9</f>
        <v>0</v>
      </c>
      <c r="F215" s="1052">
        <f>F9</f>
        <v>0</v>
      </c>
      <c r="G215" s="1052">
        <f>G9</f>
        <v>0</v>
      </c>
      <c r="H215" s="1052">
        <f t="shared" ref="H215:H253" si="12">G9</f>
        <v>0</v>
      </c>
      <c r="I215" s="1052">
        <f t="shared" si="11"/>
        <v>0</v>
      </c>
      <c r="J215" s="1052">
        <f>J9</f>
        <v>0</v>
      </c>
      <c r="K215" s="1052">
        <f t="shared" ref="K215:K253" si="13">I9</f>
        <v>0</v>
      </c>
      <c r="L215" s="1052">
        <f t="shared" ref="L215:L253" si="14">K9</f>
        <v>0</v>
      </c>
    </row>
    <row r="216" spans="2:12">
      <c r="B216" s="1053" t="str">
        <f t="shared" si="10"/>
        <v xml:space="preserve">א. </v>
      </c>
      <c r="C216" s="2895" t="str">
        <f t="shared" si="10"/>
        <v>חשבונות על בסיס חיוב שנתי</v>
      </c>
      <c r="D216" s="2622">
        <f t="shared" si="10"/>
        <v>0</v>
      </c>
      <c r="E216" s="1044">
        <f t="shared" ref="E216:F221" si="15">E10</f>
        <v>0</v>
      </c>
      <c r="F216" s="1044">
        <f t="shared" si="15"/>
        <v>0</v>
      </c>
      <c r="G216" s="1044">
        <f t="shared" ref="G216:G253" si="16">L10</f>
        <v>0</v>
      </c>
      <c r="H216" s="1044">
        <f t="shared" si="12"/>
        <v>0</v>
      </c>
      <c r="I216" s="1044">
        <f t="shared" si="11"/>
        <v>0</v>
      </c>
      <c r="J216" s="1043"/>
      <c r="K216" s="1044">
        <f t="shared" si="13"/>
        <v>0</v>
      </c>
      <c r="L216" s="1054">
        <f t="shared" si="14"/>
        <v>0</v>
      </c>
    </row>
    <row r="217" spans="2:12">
      <c r="B217" s="2893">
        <f t="shared" si="10"/>
        <v>1</v>
      </c>
      <c r="C217" s="159" t="str">
        <f t="shared" si="10"/>
        <v>ארנונה</v>
      </c>
      <c r="D217" s="1057">
        <f t="shared" ref="D217:D224" si="17">D11</f>
        <v>0</v>
      </c>
      <c r="E217" s="1057">
        <f t="shared" si="15"/>
        <v>0</v>
      </c>
      <c r="F217" s="1057">
        <f t="shared" si="15"/>
        <v>0</v>
      </c>
      <c r="G217" s="1057">
        <f t="shared" si="16"/>
        <v>0</v>
      </c>
      <c r="H217" s="1057">
        <f t="shared" si="12"/>
        <v>0</v>
      </c>
      <c r="I217" s="1057">
        <f t="shared" si="11"/>
        <v>0</v>
      </c>
      <c r="J217" s="1057"/>
      <c r="K217" s="1057">
        <f t="shared" si="13"/>
        <v>0</v>
      </c>
      <c r="L217" s="1057">
        <f t="shared" si="14"/>
        <v>0</v>
      </c>
    </row>
    <row r="218" spans="2:12">
      <c r="B218" s="1055">
        <f>IF(AND($D12=0,$E12=0,$F12=0,$G12=0,$H12=0,$I12=0,$J12=0,$L12=0),0,$B12)</f>
        <v>1.1000000000000001</v>
      </c>
      <c r="C218" s="1056" t="str">
        <f>IF(AND($D12=0,$E12=0,$F12=0,$G12=0,$H12=0,$I12=0,$J12=0,$K12=0,$L12=0),0,$C12)</f>
        <v>ארנונה למגורים</v>
      </c>
      <c r="D218" s="1057">
        <f t="shared" si="17"/>
        <v>27505</v>
      </c>
      <c r="E218" s="1057">
        <f t="shared" si="15"/>
        <v>222234.23</v>
      </c>
      <c r="F218" s="1057">
        <f t="shared" si="15"/>
        <v>33069</v>
      </c>
      <c r="G218" s="1057">
        <f t="shared" si="16"/>
        <v>-310</v>
      </c>
      <c r="H218" s="1057">
        <f t="shared" si="12"/>
        <v>216360.23</v>
      </c>
      <c r="I218" s="1057">
        <f t="shared" si="11"/>
        <v>184627</v>
      </c>
      <c r="J218" s="1058"/>
      <c r="K218" s="1057">
        <f t="shared" si="13"/>
        <v>31733.23000000001</v>
      </c>
      <c r="L218" s="1058">
        <f t="shared" si="14"/>
        <v>0.85333150181990469</v>
      </c>
    </row>
    <row r="219" spans="2:12">
      <c r="B219" s="1055">
        <f>IF(AND($D13=0,$E13=0,$F13=0,$G13=0,$H13=0,$I13=0,$J13=0,$L13=0),0,$B13)</f>
        <v>1.2</v>
      </c>
      <c r="C219" s="1056" t="str">
        <f>IF(AND($D13=0,$E13=0,$F13=0,$G13=0,$H13=0,$I13=0,$J13=0,$K13=0,$L13=0),0,$C13)</f>
        <v>ארנונה אחרת</v>
      </c>
      <c r="D219" s="1057">
        <f t="shared" si="17"/>
        <v>122524</v>
      </c>
      <c r="E219" s="1057">
        <f t="shared" si="15"/>
        <v>323249.56000000006</v>
      </c>
      <c r="F219" s="1057">
        <f t="shared" si="15"/>
        <v>14126</v>
      </c>
      <c r="G219" s="1057">
        <f t="shared" si="16"/>
        <v>-3930</v>
      </c>
      <c r="H219" s="1057">
        <f t="shared" si="12"/>
        <v>427717.56000000006</v>
      </c>
      <c r="I219" s="1057">
        <f t="shared" si="11"/>
        <v>307350</v>
      </c>
      <c r="J219" s="1058"/>
      <c r="K219" s="1057">
        <f t="shared" si="13"/>
        <v>120367.56000000006</v>
      </c>
      <c r="L219" s="1058">
        <f t="shared" si="14"/>
        <v>0.71858167338278078</v>
      </c>
    </row>
    <row r="220" spans="2:12">
      <c r="B220" s="1055">
        <f>IF(AND($D14=0,$E14=0,$F14=0,$G14=0,$H14=0,$I14=0,$J14=0,$L14=0),0,$B14)</f>
        <v>1.3</v>
      </c>
      <c r="C220" s="1056" t="str">
        <f>IF(AND($D14=0,$E14=0,$F14=0,$G14=0,$H14=0,$I14=0,$J14=0,$K14=0,$L14=0),0,$C14)</f>
        <v>חובות מסופקים וחובות למחיקה ארנונה</v>
      </c>
      <c r="D220" s="1057">
        <f t="shared" si="17"/>
        <v>149850</v>
      </c>
      <c r="E220" s="1057">
        <f t="shared" si="15"/>
        <v>12534</v>
      </c>
      <c r="F220" s="1057">
        <f t="shared" si="15"/>
        <v>24256</v>
      </c>
      <c r="G220" s="1057">
        <f t="shared" si="16"/>
        <v>4240</v>
      </c>
      <c r="H220" s="1057">
        <f t="shared" si="12"/>
        <v>142368</v>
      </c>
      <c r="I220" s="1057">
        <f t="shared" si="11"/>
        <v>0</v>
      </c>
      <c r="J220" s="1058"/>
      <c r="K220" s="1057">
        <f t="shared" si="13"/>
        <v>142368</v>
      </c>
      <c r="L220" s="1058">
        <f t="shared" si="14"/>
        <v>0</v>
      </c>
    </row>
    <row r="221" spans="2:12">
      <c r="B221" s="1055">
        <f>IF(AND($D15=0,$E15=0,$F15=0,$G15=0,$H15=0,$I15=0,$J15=0,$L15=0),0,$B15)</f>
        <v>0</v>
      </c>
      <c r="C221" s="1056" t="str">
        <f>IF(AND($D15=0,$E15=0,$F15=0,$G15=0,$H15=0,$I15=0,$J15=0,$K15=0,$L15=0),0,$C15)</f>
        <v>סה"כ ארנונה</v>
      </c>
      <c r="D221" s="1059">
        <f t="shared" si="17"/>
        <v>299879</v>
      </c>
      <c r="E221" s="1059">
        <f t="shared" si="15"/>
        <v>558017.79</v>
      </c>
      <c r="F221" s="1059">
        <f t="shared" si="15"/>
        <v>71451</v>
      </c>
      <c r="G221" s="1059">
        <f t="shared" si="16"/>
        <v>0</v>
      </c>
      <c r="H221" s="1059">
        <f t="shared" si="12"/>
        <v>786445.79</v>
      </c>
      <c r="I221" s="1059">
        <f t="shared" si="11"/>
        <v>491977</v>
      </c>
      <c r="J221" s="1060"/>
      <c r="K221" s="1059">
        <f t="shared" si="13"/>
        <v>294468.79000000004</v>
      </c>
      <c r="L221" s="1060">
        <f t="shared" si="14"/>
        <v>0.62557013624550017</v>
      </c>
    </row>
    <row r="222" spans="2:12">
      <c r="B222" s="2892">
        <f>B16</f>
        <v>2</v>
      </c>
      <c r="C222" s="2623" t="str">
        <f>C16</f>
        <v>אגרת מים וביוב</v>
      </c>
      <c r="D222" s="2896">
        <f t="shared" si="17"/>
        <v>0</v>
      </c>
      <c r="E222" s="2896">
        <f t="shared" ref="E222:F224" si="18">E16</f>
        <v>0</v>
      </c>
      <c r="F222" s="2896">
        <f t="shared" si="18"/>
        <v>0</v>
      </c>
      <c r="G222" s="2896">
        <f t="shared" si="16"/>
        <v>0</v>
      </c>
      <c r="H222" s="2896">
        <f t="shared" si="12"/>
        <v>0</v>
      </c>
      <c r="I222" s="2896">
        <f t="shared" si="11"/>
        <v>0</v>
      </c>
      <c r="J222" s="1068"/>
      <c r="K222" s="2896">
        <f t="shared" si="13"/>
        <v>0</v>
      </c>
      <c r="L222" s="1068">
        <f t="shared" si="14"/>
        <v>0</v>
      </c>
    </row>
    <row r="223" spans="2:12">
      <c r="B223" s="1055">
        <f t="shared" ref="B223:B228" si="19">IF(AND($D17=0,$E17=0,$F17=0,$G17=0,$H17=0,$I17=0,$J17=0,$L17=0),0,$B17)</f>
        <v>2.1</v>
      </c>
      <c r="C223" s="2623" t="str">
        <f>IF(AND($D17=0,$E17=0,$F17=0,$G17=0,$H17=0,$I17=0,$J17=0,$K17=0,$L17=0),0,$C17)</f>
        <v>אגרת מים</v>
      </c>
      <c r="D223" s="1057">
        <f t="shared" si="17"/>
        <v>788</v>
      </c>
      <c r="E223" s="1057">
        <f t="shared" si="18"/>
        <v>36</v>
      </c>
      <c r="F223" s="1057">
        <f t="shared" si="18"/>
        <v>0</v>
      </c>
      <c r="G223" s="1057">
        <f t="shared" si="16"/>
        <v>785</v>
      </c>
      <c r="H223" s="1057">
        <f t="shared" si="12"/>
        <v>1609</v>
      </c>
      <c r="I223" s="1057">
        <f t="shared" si="11"/>
        <v>832</v>
      </c>
      <c r="J223" s="1058"/>
      <c r="K223" s="1057">
        <f t="shared" si="13"/>
        <v>777</v>
      </c>
      <c r="L223" s="1058">
        <f t="shared" si="14"/>
        <v>0.51709136109384712</v>
      </c>
    </row>
    <row r="224" spans="2:12">
      <c r="B224" s="1055">
        <f t="shared" si="19"/>
        <v>2.2000000000000002</v>
      </c>
      <c r="C224" s="2623" t="str">
        <f>IF(AND($D18=0,$E18=0,$F18=0,$G18=0,$H18=0,$I18=0,$J18=0,$K18=0,$L18=0),0,$C18)</f>
        <v>חובות מסופקים וחובות למחיקה מים</v>
      </c>
      <c r="D224" s="1057">
        <f t="shared" si="17"/>
        <v>22398</v>
      </c>
      <c r="E224" s="1057">
        <f t="shared" si="18"/>
        <v>1699</v>
      </c>
      <c r="F224" s="1057">
        <f t="shared" si="18"/>
        <v>1233</v>
      </c>
      <c r="G224" s="1057">
        <f t="shared" si="16"/>
        <v>-785</v>
      </c>
      <c r="H224" s="1057">
        <f t="shared" si="12"/>
        <v>22079</v>
      </c>
      <c r="I224" s="1057">
        <f t="shared" si="11"/>
        <v>0</v>
      </c>
      <c r="J224" s="1058"/>
      <c r="K224" s="1057">
        <f t="shared" si="13"/>
        <v>22079</v>
      </c>
      <c r="L224" s="1058">
        <f t="shared" si="14"/>
        <v>0</v>
      </c>
    </row>
    <row r="225" spans="2:12">
      <c r="B225" s="1055">
        <f t="shared" si="19"/>
        <v>0</v>
      </c>
      <c r="C225" s="1056" t="str">
        <f>IF(AND($D19=0,$E19=0,$F19=0,$G19=0,$H19=0,$I19=0,$J19=0,$K19=0,$L19=0),0,$C19)</f>
        <v>סה"כ מים</v>
      </c>
      <c r="D225" s="1059">
        <f t="shared" ref="D225:F253" si="20">D19</f>
        <v>23186</v>
      </c>
      <c r="E225" s="1059">
        <f t="shared" si="20"/>
        <v>1735</v>
      </c>
      <c r="F225" s="1059">
        <f t="shared" si="20"/>
        <v>1233</v>
      </c>
      <c r="G225" s="1059">
        <f t="shared" si="16"/>
        <v>0</v>
      </c>
      <c r="H225" s="1059">
        <f t="shared" si="12"/>
        <v>23688</v>
      </c>
      <c r="I225" s="1059">
        <f t="shared" si="11"/>
        <v>832</v>
      </c>
      <c r="J225" s="1060"/>
      <c r="K225" s="1059">
        <f t="shared" si="13"/>
        <v>22856</v>
      </c>
      <c r="L225" s="1060">
        <f t="shared" si="14"/>
        <v>3.5123269165822354E-2</v>
      </c>
    </row>
    <row r="226" spans="2:12">
      <c r="B226" s="1055">
        <f t="shared" si="19"/>
        <v>2.2999999999999998</v>
      </c>
      <c r="C226" s="1056" t="str">
        <f>IF(AND($D20=0,$E20=0,$F20=0,$G20=0,$H20=0,$I20=0,$J20=0,$K20=0,$L20=0),0,$C20)</f>
        <v>אגרת ביוב</v>
      </c>
      <c r="D226" s="2896">
        <f t="shared" si="20"/>
        <v>760</v>
      </c>
      <c r="E226" s="2896">
        <f t="shared" si="20"/>
        <v>-10</v>
      </c>
      <c r="F226" s="2896">
        <f t="shared" si="20"/>
        <v>0</v>
      </c>
      <c r="G226" s="2896">
        <f t="shared" si="16"/>
        <v>-30</v>
      </c>
      <c r="H226" s="2896">
        <f t="shared" si="12"/>
        <v>720</v>
      </c>
      <c r="I226" s="2896">
        <f t="shared" si="11"/>
        <v>49</v>
      </c>
      <c r="J226" s="1068"/>
      <c r="K226" s="2896">
        <f t="shared" si="13"/>
        <v>671</v>
      </c>
      <c r="L226" s="1068">
        <f t="shared" si="14"/>
        <v>6.805555555555555E-2</v>
      </c>
    </row>
    <row r="227" spans="2:12">
      <c r="B227" s="2892">
        <f t="shared" si="19"/>
        <v>3</v>
      </c>
      <c r="C227" s="1056" t="str">
        <f>IF(AND($C21&lt;&gt;"(***)",OR($D21&lt;&gt;0,$E21&lt;&gt;0,$F21&lt;&gt;0,$G21&lt;&gt;0,$H21&lt;&gt;0,$I21&lt;&gt;0,$J21&lt;&gt;0,$K21&lt;&gt;0,$L21&lt;&gt;0)),$C21,"")</f>
        <v>חובות מסופקים וחובות גביה ביוב</v>
      </c>
      <c r="D227" s="1057">
        <f t="shared" si="20"/>
        <v>1365</v>
      </c>
      <c r="E227" s="1057">
        <f t="shared" si="20"/>
        <v>-154</v>
      </c>
      <c r="F227" s="1057">
        <f t="shared" si="20"/>
        <v>0</v>
      </c>
      <c r="G227" s="1057">
        <f t="shared" si="16"/>
        <v>30</v>
      </c>
      <c r="H227" s="1057">
        <f t="shared" si="12"/>
        <v>1241</v>
      </c>
      <c r="I227" s="1057">
        <f t="shared" si="11"/>
        <v>0</v>
      </c>
      <c r="J227" s="1058"/>
      <c r="K227" s="1057">
        <f t="shared" si="13"/>
        <v>1241</v>
      </c>
      <c r="L227" s="1058">
        <f t="shared" si="14"/>
        <v>0</v>
      </c>
    </row>
    <row r="228" spans="2:12">
      <c r="B228" s="2892">
        <f t="shared" si="19"/>
        <v>0</v>
      </c>
      <c r="C228" s="1056" t="str">
        <f>IF(AND($C22&lt;&gt;"(***)",OR($D22&lt;&gt;0,$E22&lt;&gt;0,$F22&lt;&gt;0,$G22&lt;&gt;0,$H22&lt;&gt;0,$I22&lt;&gt;0,$J22&lt;&gt;0,$K22&lt;&gt;0,$L22&lt;&gt;0)),$C22,"")</f>
        <v/>
      </c>
      <c r="D228" s="1057">
        <f t="shared" si="20"/>
        <v>0</v>
      </c>
      <c r="E228" s="1057">
        <f t="shared" si="20"/>
        <v>0</v>
      </c>
      <c r="F228" s="1057">
        <f t="shared" si="20"/>
        <v>0</v>
      </c>
      <c r="G228" s="1057">
        <f t="shared" si="16"/>
        <v>0</v>
      </c>
      <c r="H228" s="1057">
        <f t="shared" si="12"/>
        <v>0</v>
      </c>
      <c r="I228" s="1057">
        <f t="shared" si="11"/>
        <v>0</v>
      </c>
      <c r="J228" s="1058"/>
      <c r="K228" s="1057">
        <f t="shared" si="13"/>
        <v>0</v>
      </c>
      <c r="L228" s="1058">
        <f t="shared" si="14"/>
        <v>0</v>
      </c>
    </row>
    <row r="229" spans="2:12">
      <c r="B229" s="1055">
        <f>B23</f>
        <v>0</v>
      </c>
      <c r="C229" s="1056" t="str">
        <f>IF(AND($D23=0,$E23=0,$F23=0,$G23=0,$H23=0,$I23=0,$J23=0,$K23=0,$L23=0),0,$C23)</f>
        <v>סה"כ חשבונות על בסיס חיוב שנתי חוזר</v>
      </c>
      <c r="D229" s="1059">
        <f t="shared" si="20"/>
        <v>325190</v>
      </c>
      <c r="E229" s="1059">
        <f t="shared" si="20"/>
        <v>559588.79</v>
      </c>
      <c r="F229" s="1059">
        <f t="shared" si="20"/>
        <v>72684</v>
      </c>
      <c r="G229" s="1059">
        <f t="shared" si="16"/>
        <v>0</v>
      </c>
      <c r="H229" s="1059">
        <f t="shared" si="12"/>
        <v>812094.79</v>
      </c>
      <c r="I229" s="1059">
        <f t="shared" si="11"/>
        <v>492858</v>
      </c>
      <c r="J229" s="1060"/>
      <c r="K229" s="1059">
        <f t="shared" si="13"/>
        <v>319236.79000000004</v>
      </c>
      <c r="L229" s="1060">
        <f t="shared" si="14"/>
        <v>0.60689713327676931</v>
      </c>
    </row>
    <row r="230" spans="2:12" ht="3" customHeight="1">
      <c r="B230" s="1055">
        <f>B24</f>
        <v>0</v>
      </c>
      <c r="C230" s="1061">
        <f>C24</f>
        <v>0</v>
      </c>
      <c r="D230" s="1062">
        <f t="shared" si="20"/>
        <v>0</v>
      </c>
      <c r="E230" s="1062">
        <f t="shared" si="20"/>
        <v>0</v>
      </c>
      <c r="F230" s="1062">
        <f t="shared" si="20"/>
        <v>0</v>
      </c>
      <c r="G230" s="1062">
        <f t="shared" si="16"/>
        <v>0</v>
      </c>
      <c r="H230" s="1062">
        <f t="shared" si="12"/>
        <v>0</v>
      </c>
      <c r="I230" s="1062">
        <f t="shared" si="11"/>
        <v>0</v>
      </c>
      <c r="J230" s="1063"/>
      <c r="K230" s="1064">
        <f t="shared" si="13"/>
        <v>0</v>
      </c>
      <c r="L230" s="1064">
        <f t="shared" si="14"/>
        <v>0</v>
      </c>
    </row>
    <row r="231" spans="2:12">
      <c r="B231" s="1065" t="str">
        <f>B25</f>
        <v xml:space="preserve">ב. </v>
      </c>
      <c r="C231" s="2894" t="str">
        <f>C25</f>
        <v>חשבונות על בסיס חיוב חד פעמי</v>
      </c>
      <c r="D231" s="1062">
        <f t="shared" si="20"/>
        <v>0</v>
      </c>
      <c r="E231" s="1062">
        <f t="shared" si="20"/>
        <v>0</v>
      </c>
      <c r="F231" s="1062">
        <f t="shared" si="20"/>
        <v>0</v>
      </c>
      <c r="G231" s="1062">
        <f t="shared" si="16"/>
        <v>0</v>
      </c>
      <c r="H231" s="1062">
        <f t="shared" si="12"/>
        <v>0</v>
      </c>
      <c r="I231" s="1062">
        <f t="shared" si="11"/>
        <v>0</v>
      </c>
      <c r="J231" s="1063"/>
      <c r="K231" s="1062">
        <f t="shared" si="13"/>
        <v>0</v>
      </c>
      <c r="L231" s="1054">
        <f t="shared" si="14"/>
        <v>0</v>
      </c>
    </row>
    <row r="232" spans="2:12">
      <c r="B232" s="1055">
        <f t="shared" ref="B232:B248" si="21">IF(AND($D26=0,$E26=0,$F26=0,$G26=0,$H26=0,$I26=0,$J26=0,$L26=0),0,$B26)</f>
        <v>1</v>
      </c>
      <c r="C232" s="1056" t="str">
        <f t="shared" ref="C232:C246" si="22">IF(AND($D26=0,$E26=0,$F26=0,$G26=0,$H26=0,$I26=0,$J26=0,$K26=0,$L26=0),0,$C26)</f>
        <v>חניה וקנסות חניה</v>
      </c>
      <c r="D232" s="1057">
        <f t="shared" si="20"/>
        <v>34934</v>
      </c>
      <c r="E232" s="1057">
        <f t="shared" si="20"/>
        <v>30742</v>
      </c>
      <c r="F232" s="1057">
        <f t="shared" si="20"/>
        <v>0</v>
      </c>
      <c r="G232" s="1057">
        <f t="shared" si="16"/>
        <v>0</v>
      </c>
      <c r="H232" s="1057">
        <f t="shared" si="12"/>
        <v>65676</v>
      </c>
      <c r="I232" s="1057">
        <f t="shared" si="11"/>
        <v>30511</v>
      </c>
      <c r="J232" s="1058"/>
      <c r="K232" s="1057">
        <f t="shared" si="13"/>
        <v>35165</v>
      </c>
      <c r="L232" s="1058">
        <f t="shared" si="14"/>
        <v>0.4645684877276326</v>
      </c>
    </row>
    <row r="233" spans="2:12">
      <c r="B233" s="1055">
        <f t="shared" si="21"/>
        <v>2</v>
      </c>
      <c r="C233" s="1056" t="str">
        <f t="shared" si="22"/>
        <v>שכר דירה</v>
      </c>
      <c r="D233" s="1057">
        <f t="shared" si="20"/>
        <v>2341</v>
      </c>
      <c r="E233" s="1057">
        <f t="shared" si="20"/>
        <v>5125</v>
      </c>
      <c r="F233" s="1057">
        <f t="shared" si="20"/>
        <v>0</v>
      </c>
      <c r="G233" s="1057">
        <f t="shared" si="16"/>
        <v>0</v>
      </c>
      <c r="H233" s="1057">
        <f t="shared" si="12"/>
        <v>7466</v>
      </c>
      <c r="I233" s="1057">
        <f t="shared" si="11"/>
        <v>4527</v>
      </c>
      <c r="J233" s="1058"/>
      <c r="K233" s="1057">
        <f t="shared" si="13"/>
        <v>2939</v>
      </c>
      <c r="L233" s="1058">
        <f t="shared" si="14"/>
        <v>0.6063487811411733</v>
      </c>
    </row>
    <row r="234" spans="2:12">
      <c r="B234" s="1055">
        <f t="shared" si="21"/>
        <v>3</v>
      </c>
      <c r="C234" s="1056" t="str">
        <f t="shared" si="22"/>
        <v>קנסות</v>
      </c>
      <c r="D234" s="1057">
        <f t="shared" si="20"/>
        <v>1483</v>
      </c>
      <c r="E234" s="1057">
        <f t="shared" si="20"/>
        <v>762</v>
      </c>
      <c r="F234" s="1057">
        <f t="shared" si="20"/>
        <v>0</v>
      </c>
      <c r="G234" s="1057">
        <f t="shared" si="16"/>
        <v>0</v>
      </c>
      <c r="H234" s="1057">
        <f t="shared" si="12"/>
        <v>2245</v>
      </c>
      <c r="I234" s="1057">
        <f t="shared" si="11"/>
        <v>589</v>
      </c>
      <c r="J234" s="1058"/>
      <c r="K234" s="1057">
        <f t="shared" si="13"/>
        <v>1656</v>
      </c>
      <c r="L234" s="1058">
        <f t="shared" si="14"/>
        <v>0.26236080178173721</v>
      </c>
    </row>
    <row r="235" spans="2:12">
      <c r="B235" s="1055">
        <f t="shared" si="21"/>
        <v>4</v>
      </c>
      <c r="C235" s="1056" t="str">
        <f t="shared" si="22"/>
        <v>עצמיות חינוך</v>
      </c>
      <c r="D235" s="1057">
        <f t="shared" si="20"/>
        <v>178</v>
      </c>
      <c r="E235" s="1057">
        <f t="shared" si="20"/>
        <v>357</v>
      </c>
      <c r="F235" s="1057">
        <f t="shared" si="20"/>
        <v>108</v>
      </c>
      <c r="G235" s="1057">
        <f t="shared" si="16"/>
        <v>-4</v>
      </c>
      <c r="H235" s="1057">
        <f t="shared" si="12"/>
        <v>423</v>
      </c>
      <c r="I235" s="1057">
        <f t="shared" si="11"/>
        <v>225</v>
      </c>
      <c r="J235" s="1058"/>
      <c r="K235" s="1057">
        <f t="shared" si="13"/>
        <v>198</v>
      </c>
      <c r="L235" s="1058">
        <f t="shared" si="14"/>
        <v>0.53191489361702127</v>
      </c>
    </row>
    <row r="236" spans="2:12">
      <c r="B236" s="1055">
        <f t="shared" si="21"/>
        <v>0</v>
      </c>
      <c r="C236" s="1056">
        <f t="shared" si="22"/>
        <v>0</v>
      </c>
      <c r="D236" s="1057">
        <f t="shared" si="20"/>
        <v>0</v>
      </c>
      <c r="E236" s="1057">
        <f t="shared" si="20"/>
        <v>0</v>
      </c>
      <c r="F236" s="1057">
        <f t="shared" si="20"/>
        <v>0</v>
      </c>
      <c r="G236" s="1057">
        <f t="shared" si="16"/>
        <v>0</v>
      </c>
      <c r="H236" s="1057">
        <f t="shared" si="12"/>
        <v>0</v>
      </c>
      <c r="I236" s="1057">
        <f t="shared" si="11"/>
        <v>0</v>
      </c>
      <c r="J236" s="1058"/>
      <c r="K236" s="1057">
        <f t="shared" si="13"/>
        <v>0</v>
      </c>
      <c r="L236" s="1058">
        <f t="shared" si="14"/>
        <v>0</v>
      </c>
    </row>
    <row r="237" spans="2:12">
      <c r="B237" s="1055">
        <f t="shared" si="21"/>
        <v>0</v>
      </c>
      <c r="C237" s="1056">
        <f t="shared" si="22"/>
        <v>0</v>
      </c>
      <c r="D237" s="1057">
        <f t="shared" si="20"/>
        <v>0</v>
      </c>
      <c r="E237" s="1057">
        <f t="shared" si="20"/>
        <v>0</v>
      </c>
      <c r="F237" s="1057">
        <f t="shared" si="20"/>
        <v>0</v>
      </c>
      <c r="G237" s="1057">
        <f t="shared" si="16"/>
        <v>0</v>
      </c>
      <c r="H237" s="1057">
        <f t="shared" si="12"/>
        <v>0</v>
      </c>
      <c r="I237" s="1057">
        <f t="shared" si="11"/>
        <v>0</v>
      </c>
      <c r="J237" s="1058"/>
      <c r="K237" s="1057">
        <f t="shared" si="13"/>
        <v>0</v>
      </c>
      <c r="L237" s="1058">
        <f t="shared" si="14"/>
        <v>0</v>
      </c>
    </row>
    <row r="238" spans="2:12">
      <c r="B238" s="1055">
        <f t="shared" si="21"/>
        <v>0</v>
      </c>
      <c r="C238" s="1056">
        <f t="shared" si="22"/>
        <v>0</v>
      </c>
      <c r="D238" s="1057">
        <f t="shared" si="20"/>
        <v>0</v>
      </c>
      <c r="E238" s="1057">
        <f t="shared" si="20"/>
        <v>0</v>
      </c>
      <c r="F238" s="1057">
        <f t="shared" si="20"/>
        <v>0</v>
      </c>
      <c r="G238" s="1057">
        <f t="shared" si="16"/>
        <v>0</v>
      </c>
      <c r="H238" s="1057">
        <f t="shared" si="12"/>
        <v>0</v>
      </c>
      <c r="I238" s="1057">
        <f t="shared" si="11"/>
        <v>0</v>
      </c>
      <c r="J238" s="1058"/>
      <c r="K238" s="1057">
        <f t="shared" si="13"/>
        <v>0</v>
      </c>
      <c r="L238" s="1058">
        <f t="shared" si="14"/>
        <v>0</v>
      </c>
    </row>
    <row r="239" spans="2:12">
      <c r="B239" s="1055">
        <f t="shared" si="21"/>
        <v>8</v>
      </c>
      <c r="C239" s="1056" t="str">
        <f t="shared" si="22"/>
        <v>הטלי השבחה</v>
      </c>
      <c r="D239" s="1057">
        <f t="shared" si="20"/>
        <v>27017</v>
      </c>
      <c r="E239" s="1057">
        <f t="shared" si="20"/>
        <v>179079</v>
      </c>
      <c r="F239" s="1057">
        <f t="shared" si="20"/>
        <v>0</v>
      </c>
      <c r="G239" s="1057">
        <f t="shared" si="16"/>
        <v>0</v>
      </c>
      <c r="H239" s="1057">
        <f t="shared" si="12"/>
        <v>206096</v>
      </c>
      <c r="I239" s="1057">
        <f t="shared" si="11"/>
        <v>172102</v>
      </c>
      <c r="J239" s="1058"/>
      <c r="K239" s="1057">
        <f t="shared" si="13"/>
        <v>33994</v>
      </c>
      <c r="L239" s="1058">
        <f t="shared" si="14"/>
        <v>0.83505744895582645</v>
      </c>
    </row>
    <row r="240" spans="2:12">
      <c r="B240" s="1055">
        <f t="shared" si="21"/>
        <v>9</v>
      </c>
      <c r="C240" s="1056" t="str">
        <f t="shared" si="22"/>
        <v>הטלי פיתוח</v>
      </c>
      <c r="D240" s="1057">
        <f t="shared" si="20"/>
        <v>76537</v>
      </c>
      <c r="E240" s="1057">
        <f t="shared" si="20"/>
        <v>54319</v>
      </c>
      <c r="F240" s="1057">
        <f t="shared" si="20"/>
        <v>9120</v>
      </c>
      <c r="G240" s="1057">
        <f t="shared" si="16"/>
        <v>0</v>
      </c>
      <c r="H240" s="1057">
        <f t="shared" si="12"/>
        <v>121736</v>
      </c>
      <c r="I240" s="1057">
        <f t="shared" si="11"/>
        <v>45119</v>
      </c>
      <c r="J240" s="1058"/>
      <c r="K240" s="1057">
        <f t="shared" si="13"/>
        <v>76617</v>
      </c>
      <c r="L240" s="1058">
        <f t="shared" si="14"/>
        <v>0.37062988762568183</v>
      </c>
    </row>
    <row r="241" spans="2:12">
      <c r="B241" s="1055">
        <f t="shared" si="21"/>
        <v>10</v>
      </c>
      <c r="C241" s="1056" t="str">
        <f t="shared" si="22"/>
        <v>אגרות בניה</v>
      </c>
      <c r="D241" s="1057">
        <f t="shared" si="20"/>
        <v>-3718</v>
      </c>
      <c r="E241" s="1057">
        <f t="shared" si="20"/>
        <v>12741</v>
      </c>
      <c r="F241" s="1057">
        <f t="shared" si="20"/>
        <v>0</v>
      </c>
      <c r="G241" s="1057">
        <f t="shared" si="16"/>
        <v>0</v>
      </c>
      <c r="H241" s="1057">
        <f t="shared" si="12"/>
        <v>9023</v>
      </c>
      <c r="I241" s="1057">
        <f t="shared" si="11"/>
        <v>12498</v>
      </c>
      <c r="J241" s="1058"/>
      <c r="K241" s="1057">
        <f t="shared" si="13"/>
        <v>-3475</v>
      </c>
      <c r="L241" s="1058">
        <f t="shared" si="14"/>
        <v>1.3851268979275186</v>
      </c>
    </row>
    <row r="242" spans="2:12">
      <c r="B242" s="1055">
        <f t="shared" si="21"/>
        <v>11</v>
      </c>
      <c r="C242" s="1056" t="str">
        <f t="shared" si="22"/>
        <v>הטל ביוב</v>
      </c>
      <c r="D242" s="1057">
        <f t="shared" si="20"/>
        <v>147</v>
      </c>
      <c r="E242" s="1057">
        <f t="shared" si="20"/>
        <v>79</v>
      </c>
      <c r="F242" s="1057">
        <f t="shared" si="20"/>
        <v>0</v>
      </c>
      <c r="G242" s="1057">
        <f t="shared" si="16"/>
        <v>0</v>
      </c>
      <c r="H242" s="1057">
        <f t="shared" si="12"/>
        <v>226</v>
      </c>
      <c r="I242" s="1057">
        <f t="shared" si="11"/>
        <v>173</v>
      </c>
      <c r="J242" s="1058"/>
      <c r="K242" s="1057">
        <f t="shared" si="13"/>
        <v>53</v>
      </c>
      <c r="L242" s="1058">
        <f t="shared" si="14"/>
        <v>0.76548672566371678</v>
      </c>
    </row>
    <row r="243" spans="2:12">
      <c r="B243" s="1055">
        <f t="shared" si="21"/>
        <v>0</v>
      </c>
      <c r="C243" s="1056">
        <f t="shared" si="22"/>
        <v>0</v>
      </c>
      <c r="D243" s="1057">
        <f t="shared" si="20"/>
        <v>0</v>
      </c>
      <c r="E243" s="1057">
        <f t="shared" si="20"/>
        <v>0</v>
      </c>
      <c r="F243" s="1057">
        <f t="shared" si="20"/>
        <v>0</v>
      </c>
      <c r="G243" s="1057">
        <f t="shared" si="16"/>
        <v>0</v>
      </c>
      <c r="H243" s="1057">
        <f t="shared" si="12"/>
        <v>0</v>
      </c>
      <c r="I243" s="1057">
        <f t="shared" si="11"/>
        <v>0</v>
      </c>
      <c r="J243" s="1058"/>
      <c r="K243" s="1057">
        <f t="shared" si="13"/>
        <v>0</v>
      </c>
      <c r="L243" s="1058">
        <f t="shared" si="14"/>
        <v>0</v>
      </c>
    </row>
    <row r="244" spans="2:12">
      <c r="B244" s="1055">
        <f t="shared" si="21"/>
        <v>0</v>
      </c>
      <c r="C244" s="1056">
        <f t="shared" si="22"/>
        <v>0</v>
      </c>
      <c r="D244" s="1057">
        <f t="shared" si="20"/>
        <v>0</v>
      </c>
      <c r="E244" s="1057">
        <f t="shared" si="20"/>
        <v>0</v>
      </c>
      <c r="F244" s="1057">
        <f t="shared" si="20"/>
        <v>0</v>
      </c>
      <c r="G244" s="1057">
        <f t="shared" si="16"/>
        <v>0</v>
      </c>
      <c r="H244" s="1057">
        <f t="shared" si="12"/>
        <v>0</v>
      </c>
      <c r="I244" s="1057">
        <f t="shared" si="11"/>
        <v>0</v>
      </c>
      <c r="J244" s="1058"/>
      <c r="K244" s="1057">
        <f t="shared" si="13"/>
        <v>0</v>
      </c>
      <c r="L244" s="1058">
        <f t="shared" si="14"/>
        <v>0</v>
      </c>
    </row>
    <row r="245" spans="2:12">
      <c r="B245" s="1055">
        <f t="shared" si="21"/>
        <v>14</v>
      </c>
      <c r="C245" s="1056" t="str">
        <f t="shared" si="22"/>
        <v xml:space="preserve">שיקים שחזרו וחובות בהסדר </v>
      </c>
      <c r="D245" s="1057">
        <f t="shared" si="20"/>
        <v>13439</v>
      </c>
      <c r="E245" s="1057">
        <f t="shared" si="20"/>
        <v>6389</v>
      </c>
      <c r="F245" s="1057">
        <f t="shared" si="20"/>
        <v>5801</v>
      </c>
      <c r="G245" s="1057">
        <f t="shared" si="16"/>
        <v>-258</v>
      </c>
      <c r="H245" s="1057">
        <f t="shared" si="12"/>
        <v>13769</v>
      </c>
      <c r="I245" s="1057">
        <f t="shared" si="11"/>
        <v>485</v>
      </c>
      <c r="J245" s="1058"/>
      <c r="K245" s="1057">
        <f t="shared" si="13"/>
        <v>13284</v>
      </c>
      <c r="L245" s="1058">
        <f t="shared" si="14"/>
        <v>3.5224054034425155E-2</v>
      </c>
    </row>
    <row r="246" spans="2:12">
      <c r="B246" s="1055">
        <f t="shared" si="21"/>
        <v>15</v>
      </c>
      <c r="C246" s="1056" t="str">
        <f t="shared" si="22"/>
        <v xml:space="preserve">אחרים </v>
      </c>
      <c r="D246" s="1057">
        <f t="shared" si="20"/>
        <v>21837</v>
      </c>
      <c r="E246" s="1057">
        <f t="shared" si="20"/>
        <v>7898</v>
      </c>
      <c r="F246" s="1057">
        <f t="shared" si="20"/>
        <v>18</v>
      </c>
      <c r="G246" s="1057">
        <f t="shared" si="16"/>
        <v>-13</v>
      </c>
      <c r="H246" s="1057">
        <f t="shared" si="12"/>
        <v>29704</v>
      </c>
      <c r="I246" s="1057">
        <f t="shared" si="11"/>
        <v>9340</v>
      </c>
      <c r="J246" s="1058"/>
      <c r="K246" s="1057">
        <f t="shared" si="13"/>
        <v>20364</v>
      </c>
      <c r="L246" s="1058">
        <f t="shared" si="14"/>
        <v>0.31443576622677083</v>
      </c>
    </row>
    <row r="247" spans="2:12">
      <c r="B247" s="1055">
        <f t="shared" si="21"/>
        <v>16</v>
      </c>
      <c r="C247" s="1056" t="str">
        <f>IF(AND($C41&lt;&gt;"(***)",OR($D41&lt;&gt;0,$E41&lt;&gt;0,$F41&lt;&gt;0,$G41&lt;&gt;0,$H41&lt;&gt;0,$I41&lt;&gt;0,$J41&lt;&gt;0,$K41&lt;&gt;0,$L41&lt;&gt;0)),$C41,"")</f>
        <v>היטל צריכה עודפת</v>
      </c>
      <c r="D247" s="1057">
        <f t="shared" si="20"/>
        <v>0</v>
      </c>
      <c r="E247" s="1057">
        <f t="shared" si="20"/>
        <v>1</v>
      </c>
      <c r="F247" s="1057">
        <f t="shared" si="20"/>
        <v>0</v>
      </c>
      <c r="G247" s="1057">
        <f t="shared" si="16"/>
        <v>0</v>
      </c>
      <c r="H247" s="1057">
        <f t="shared" si="12"/>
        <v>1</v>
      </c>
      <c r="I247" s="1057">
        <f t="shared" si="11"/>
        <v>1</v>
      </c>
      <c r="J247" s="1058"/>
      <c r="K247" s="1057">
        <f t="shared" si="13"/>
        <v>0</v>
      </c>
      <c r="L247" s="1058">
        <f t="shared" si="14"/>
        <v>1</v>
      </c>
    </row>
    <row r="248" spans="2:12">
      <c r="B248" s="1055">
        <f t="shared" si="21"/>
        <v>17</v>
      </c>
      <c r="C248" s="1056" t="str">
        <f>IF(AND($C42&lt;&gt;"(***)",OR($D42&lt;&gt;0,$E42&lt;&gt;0,$F42&lt;&gt;0,$G42&lt;&gt;0,$H42&lt;&gt;0,$I42&lt;&gt;0,$J42&lt;&gt;0,$K42&lt;&gt;0,,$L42&lt;&gt;0)),$C42,"")</f>
        <v>חובות מסופקים וחובות למחיקה</v>
      </c>
      <c r="D248" s="1057">
        <f t="shared" si="20"/>
        <v>125708</v>
      </c>
      <c r="E248" s="1057">
        <f t="shared" si="20"/>
        <v>-42266</v>
      </c>
      <c r="F248" s="1057">
        <f t="shared" si="20"/>
        <v>0</v>
      </c>
      <c r="G248" s="1057">
        <f t="shared" si="16"/>
        <v>275</v>
      </c>
      <c r="H248" s="1057">
        <f t="shared" si="12"/>
        <v>83717</v>
      </c>
      <c r="I248" s="1057">
        <f t="shared" si="11"/>
        <v>0</v>
      </c>
      <c r="J248" s="1058"/>
      <c r="K248" s="1057">
        <f t="shared" si="13"/>
        <v>83717</v>
      </c>
      <c r="L248" s="1058">
        <f t="shared" si="14"/>
        <v>0</v>
      </c>
    </row>
    <row r="249" spans="2:12">
      <c r="B249" s="1055">
        <f t="shared" ref="B249:B254" si="23">B43</f>
        <v>0</v>
      </c>
      <c r="C249" s="1056" t="str">
        <f>IF(AND($D43=0,$E43=0,$F43=0,$G43=0,$H43=0,$I43=0,$J43=0,$K43=0,$L43=0),0,$C43)</f>
        <v>סה"כ חשבונות על בסיס חיוב חד-פעמי</v>
      </c>
      <c r="D249" s="1059">
        <f t="shared" si="20"/>
        <v>299903</v>
      </c>
      <c r="E249" s="1059">
        <f t="shared" si="20"/>
        <v>255226</v>
      </c>
      <c r="F249" s="1059">
        <f t="shared" si="20"/>
        <v>15047</v>
      </c>
      <c r="G249" s="1059">
        <f t="shared" si="16"/>
        <v>0</v>
      </c>
      <c r="H249" s="1059">
        <f t="shared" si="12"/>
        <v>540082</v>
      </c>
      <c r="I249" s="1059">
        <f t="shared" si="11"/>
        <v>275570</v>
      </c>
      <c r="J249" s="1060"/>
      <c r="K249" s="1059">
        <f t="shared" si="13"/>
        <v>264512</v>
      </c>
      <c r="L249" s="1060">
        <f t="shared" si="14"/>
        <v>0.51023733433071272</v>
      </c>
    </row>
    <row r="250" spans="2:12">
      <c r="B250" s="1055">
        <f t="shared" si="23"/>
        <v>0</v>
      </c>
      <c r="C250" s="1061">
        <f>C44</f>
        <v>0</v>
      </c>
      <c r="D250" s="1066">
        <f t="shared" si="20"/>
        <v>0</v>
      </c>
      <c r="E250" s="1062">
        <f t="shared" si="20"/>
        <v>0</v>
      </c>
      <c r="F250" s="1062">
        <f t="shared" si="20"/>
        <v>0</v>
      </c>
      <c r="G250" s="1062">
        <f t="shared" si="16"/>
        <v>0</v>
      </c>
      <c r="H250" s="1062">
        <f t="shared" si="12"/>
        <v>0</v>
      </c>
      <c r="I250" s="1062">
        <f t="shared" si="11"/>
        <v>0</v>
      </c>
      <c r="J250" s="1063"/>
      <c r="K250" s="1062">
        <f t="shared" si="13"/>
        <v>0</v>
      </c>
      <c r="L250" s="1064">
        <f t="shared" si="14"/>
        <v>0</v>
      </c>
    </row>
    <row r="251" spans="2:12" ht="13.8" thickBot="1">
      <c r="B251" s="1055">
        <f t="shared" si="23"/>
        <v>0</v>
      </c>
      <c r="C251" s="1056" t="str">
        <f>IF(AND($D45=0,$E45=0,$F45=0,$G45=0,$H45=0,$I45=0,$J45=0,$K45=0,$L45=0),0,$C45)</f>
        <v>סה"כ בשנת הדוח</v>
      </c>
      <c r="D251" s="2797">
        <f t="shared" si="20"/>
        <v>625093</v>
      </c>
      <c r="E251" s="2797">
        <f t="shared" si="20"/>
        <v>814814.79</v>
      </c>
      <c r="F251" s="2797">
        <f t="shared" si="20"/>
        <v>87731</v>
      </c>
      <c r="G251" s="2797">
        <f t="shared" si="16"/>
        <v>0</v>
      </c>
      <c r="H251" s="2797">
        <f t="shared" si="12"/>
        <v>1352176.79</v>
      </c>
      <c r="I251" s="2797">
        <f t="shared" si="11"/>
        <v>768428</v>
      </c>
      <c r="J251" s="2798"/>
      <c r="K251" s="2797">
        <f t="shared" si="13"/>
        <v>583748.79</v>
      </c>
      <c r="L251" s="2798">
        <f t="shared" si="14"/>
        <v>0.56828959473561147</v>
      </c>
    </row>
    <row r="252" spans="2:12" ht="13.8" thickTop="1">
      <c r="B252" s="1055">
        <f t="shared" si="23"/>
        <v>0</v>
      </c>
      <c r="C252" s="1056" t="str">
        <f>IF(AND($D46=0,$E46=0,$F46=0,$G46=0,$H46=0,$I46=0,$J46=0,$K46=0,$L46=0),0,$C46)</f>
        <v>שנה קודמת</v>
      </c>
      <c r="D252" s="1067">
        <f t="shared" si="20"/>
        <v>687840</v>
      </c>
      <c r="E252" s="1067">
        <f t="shared" si="20"/>
        <v>753427</v>
      </c>
      <c r="F252" s="1067">
        <f t="shared" si="20"/>
        <v>69486</v>
      </c>
      <c r="G252" s="1067">
        <f t="shared" si="16"/>
        <v>0</v>
      </c>
      <c r="H252" s="1067">
        <f t="shared" si="12"/>
        <v>1371781</v>
      </c>
      <c r="I252" s="1067">
        <f t="shared" si="11"/>
        <v>746688</v>
      </c>
      <c r="J252" s="1068"/>
      <c r="K252" s="1067">
        <f t="shared" si="13"/>
        <v>625093</v>
      </c>
      <c r="L252" s="1068">
        <f t="shared" si="14"/>
        <v>0.54432012106888783</v>
      </c>
    </row>
    <row r="253" spans="2:12">
      <c r="B253" s="1069">
        <f t="shared" si="23"/>
        <v>0</v>
      </c>
      <c r="C253" s="1070" t="str">
        <f>IF(AND($D47=0,$E47=0,$F47=0,$G47=0,$H47=0,$I47=0,$J47=0,$K47=0,$L47=0),0,$C47)</f>
        <v>שנתיים קודמות</v>
      </c>
      <c r="D253" s="1057">
        <f t="shared" si="20"/>
        <v>608699</v>
      </c>
      <c r="E253" s="1057">
        <f t="shared" si="20"/>
        <v>776010</v>
      </c>
      <c r="F253" s="1057">
        <f t="shared" si="20"/>
        <v>45376</v>
      </c>
      <c r="G253" s="1057">
        <f t="shared" si="16"/>
        <v>0</v>
      </c>
      <c r="H253" s="1057">
        <f t="shared" si="12"/>
        <v>1339333</v>
      </c>
      <c r="I253" s="1057">
        <f t="shared" si="11"/>
        <v>651493</v>
      </c>
      <c r="J253" s="1058"/>
      <c r="K253" s="1057">
        <f t="shared" si="13"/>
        <v>687840</v>
      </c>
      <c r="L253" s="1058">
        <f t="shared" si="14"/>
        <v>0.48643093241187962</v>
      </c>
    </row>
    <row r="254" spans="2:12" ht="14.25" customHeight="1">
      <c r="B254" s="2937">
        <f t="shared" si="23"/>
        <v>0</v>
      </c>
      <c r="C254" s="1071" t="str">
        <f>IF(C48&lt;&gt;"(***)",C48,0)</f>
        <v>החובות המסופקים והחובות למחיקה נקבעו בהתאם לאמדן שערכה הנהלת העירייה על פי סוגי החיובים ועומק תקופות החוב.</v>
      </c>
      <c r="D254" s="1072"/>
      <c r="E254" s="1072"/>
      <c r="F254" s="1072"/>
      <c r="G254" s="1072"/>
      <c r="H254" s="1072"/>
      <c r="I254" s="1072"/>
      <c r="J254" s="1072"/>
      <c r="K254" s="1072"/>
      <c r="L254" s="1073"/>
    </row>
    <row r="255" spans="2:12">
      <c r="C255" s="3518" t="str">
        <f>C49</f>
        <v>היטלי השבחה - בוצע רישום חיוב בסך 32,684 אלפי ₪ אשר לא נכלל במאזן הגביה של העירייה, וזאת כנגד תשלומים ע"ח היטלי השבחה מראש.</v>
      </c>
      <c r="D255" s="3518"/>
      <c r="E255" s="3518"/>
      <c r="F255" s="3518"/>
      <c r="G255" s="3518"/>
      <c r="H255" s="3518"/>
      <c r="I255" s="3518"/>
      <c r="J255" s="3518"/>
      <c r="K255" s="3518"/>
      <c r="L255" s="3518"/>
    </row>
  </sheetData>
  <sheetProtection password="83C1" sheet="1" objects="1" scenarios="1"/>
  <dataConsolidate/>
  <mergeCells count="33">
    <mergeCell ref="H7:H8"/>
    <mergeCell ref="L7:L8"/>
    <mergeCell ref="F7:F8"/>
    <mergeCell ref="E7:E8"/>
    <mergeCell ref="I211:I212"/>
    <mergeCell ref="J211:J212"/>
    <mergeCell ref="G211:G212"/>
    <mergeCell ref="B205:L205"/>
    <mergeCell ref="K7:K8"/>
    <mergeCell ref="D5:D6"/>
    <mergeCell ref="C255:L255"/>
    <mergeCell ref="L211:L212"/>
    <mergeCell ref="D211:D212"/>
    <mergeCell ref="C211:C212"/>
    <mergeCell ref="F211:F212"/>
    <mergeCell ref="K211:K212"/>
    <mergeCell ref="E211:E212"/>
    <mergeCell ref="H211:H212"/>
    <mergeCell ref="B206:L206"/>
    <mergeCell ref="B211:B212"/>
    <mergeCell ref="B207:L207"/>
    <mergeCell ref="J7:J8"/>
    <mergeCell ref="I5:I6"/>
    <mergeCell ref="H5:H6"/>
    <mergeCell ref="K5:K6"/>
    <mergeCell ref="E1:L1"/>
    <mergeCell ref="J5:J6"/>
    <mergeCell ref="L5:L6"/>
    <mergeCell ref="E2:L2"/>
    <mergeCell ref="E3:L3"/>
    <mergeCell ref="F5:F6"/>
    <mergeCell ref="G5:G6"/>
    <mergeCell ref="E5:E6"/>
  </mergeCells>
  <phoneticPr fontId="4" type="noConversion"/>
  <conditionalFormatting sqref="D17:D18 D20">
    <cfRule type="expression" dxfId="29" priority="1" stopIfTrue="1">
      <formula>D$16&lt;&gt;0</formula>
    </cfRule>
  </conditionalFormatting>
  <conditionalFormatting sqref="D19">
    <cfRule type="expression" dxfId="28" priority="2" stopIfTrue="1">
      <formula>D$16&lt;&gt;0</formula>
    </cfRule>
  </conditionalFormatting>
  <conditionalFormatting sqref="L16">
    <cfRule type="expression" dxfId="27" priority="3" stopIfTrue="1">
      <formula>OR(L$19&lt;&gt;0,L$20&lt;&gt;0)</formula>
    </cfRule>
  </conditionalFormatting>
  <conditionalFormatting sqref="L17:L18">
    <cfRule type="expression" dxfId="26" priority="4" stopIfTrue="1">
      <formula>L$16&lt;&gt;0</formula>
    </cfRule>
  </conditionalFormatting>
  <conditionalFormatting sqref="L19">
    <cfRule type="expression" dxfId="25" priority="5" stopIfTrue="1">
      <formula>L$16&lt;&gt;0</formula>
    </cfRule>
  </conditionalFormatting>
  <hyperlinks>
    <hyperlink ref="A4" location="'תוכן הענינים'!A1" tooltip="לחץ להצגת גליון תוכן הענינים" display="הצג תוכן ענינים"/>
  </hyperlinks>
  <printOptions horizontalCentered="1"/>
  <pageMargins left="0" right="0" top="0.42" bottom="0.35433070866141703" header="0.25" footer="0.16"/>
  <pageSetup paperSize="9" scale="89" orientation="landscape" blackAndWhite="1" horizontalDpi="300" verticalDpi="300" r:id="rId1"/>
  <headerFooter alignWithMargins="0">
    <oddHeader>&amp;L&amp;8&amp;A</oddHeader>
    <oddFooter>&amp;C&amp;8&amp;P</oddFooter>
  </headerFooter>
  <cellWatches>
    <cellWatch r="D11"/>
  </cellWatch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0">
    <pageSetUpPr autoPageBreaks="0"/>
  </sheetPr>
  <dimension ref="A1:K52"/>
  <sheetViews>
    <sheetView showGridLines="0" showRowColHeaders="0" showZeros="0" rightToLeft="1" showOutlineSymbols="0" workbookViewId="0">
      <selection activeCell="A4" sqref="A4"/>
    </sheetView>
  </sheetViews>
  <sheetFormatPr defaultColWidth="9.109375" defaultRowHeight="13.2"/>
  <cols>
    <col min="1" max="8" width="9.109375" style="674"/>
    <col min="9" max="9" width="12.6640625" style="2930" customWidth="1"/>
    <col min="10" max="16384" width="9.109375" style="674"/>
  </cols>
  <sheetData>
    <row r="1" spans="1:11" ht="22.5" customHeight="1">
      <c r="A1" s="685"/>
      <c r="B1" s="685"/>
      <c r="C1" s="685"/>
      <c r="D1" s="685"/>
      <c r="E1" s="3331" t="str">
        <f>'הגדרות כלליות'!D6</f>
        <v>עירית הרצליה</v>
      </c>
      <c r="F1" s="3332"/>
      <c r="G1" s="3332"/>
      <c r="H1" s="3332"/>
      <c r="I1" s="3332"/>
      <c r="J1" s="3332"/>
      <c r="K1" s="677"/>
    </row>
    <row r="2" spans="1:11" ht="15.6">
      <c r="A2" s="685"/>
      <c r="B2" s="685"/>
      <c r="C2" s="685"/>
      <c r="D2" s="685"/>
      <c r="E2" s="3333" t="str">
        <f>CONCATENATE("דוח הכספי ליום 31 בדצמבר ", Shana)</f>
        <v>דוח הכספי ליום 31 בדצמבר 2015</v>
      </c>
      <c r="F2" s="3334"/>
      <c r="G2" s="3334"/>
      <c r="H2" s="3334"/>
      <c r="I2" s="3334"/>
      <c r="J2" s="3335"/>
      <c r="K2" s="677"/>
    </row>
    <row r="3" spans="1:11" ht="14.25" customHeight="1">
      <c r="A3" s="672"/>
      <c r="B3" s="672"/>
      <c r="C3" s="672"/>
      <c r="D3" s="672"/>
      <c r="E3" s="3333" t="s">
        <v>1009</v>
      </c>
      <c r="F3" s="3334"/>
      <c r="G3" s="3334"/>
      <c r="H3" s="3334"/>
      <c r="I3" s="3334"/>
      <c r="J3" s="3335"/>
      <c r="K3" s="677"/>
    </row>
    <row r="4" spans="1:11" ht="14.25" customHeight="1">
      <c r="A4" s="7" t="s">
        <v>339</v>
      </c>
      <c r="B4" s="801"/>
      <c r="C4" s="801"/>
      <c r="D4" s="801"/>
      <c r="E4" s="802"/>
      <c r="F4" s="803"/>
      <c r="G4" s="803"/>
      <c r="H4" s="803"/>
      <c r="I4" s="2926"/>
      <c r="J4" s="803"/>
      <c r="K4" s="677"/>
    </row>
    <row r="5" spans="1:11" ht="14.25" customHeight="1">
      <c r="A5" s="7"/>
      <c r="B5" s="801"/>
      <c r="C5" s="801"/>
      <c r="D5" s="801"/>
      <c r="E5" s="802"/>
      <c r="F5" s="803"/>
      <c r="G5" s="803"/>
      <c r="H5" s="803"/>
      <c r="I5" s="2926"/>
      <c r="J5" s="803"/>
      <c r="K5" s="677"/>
    </row>
    <row r="6" spans="1:11" ht="15.6">
      <c r="A6" s="3336" t="str">
        <f>E1</f>
        <v>עירית הרצליה</v>
      </c>
      <c r="B6" s="3336"/>
      <c r="C6" s="3336"/>
      <c r="D6" s="3336"/>
      <c r="E6" s="3336"/>
      <c r="F6" s="3336"/>
      <c r="G6" s="3336"/>
      <c r="H6" s="3336"/>
      <c r="I6" s="3336"/>
      <c r="J6" s="804"/>
      <c r="K6" s="677"/>
    </row>
    <row r="7" spans="1:11" ht="15.6">
      <c r="A7" s="3336" t="str">
        <f>E2</f>
        <v>דוח הכספי ליום 31 בדצמבר 2015</v>
      </c>
      <c r="B7" s="3336"/>
      <c r="C7" s="3336"/>
      <c r="D7" s="3336"/>
      <c r="E7" s="3336"/>
      <c r="F7" s="3336"/>
      <c r="G7" s="3336"/>
      <c r="H7" s="3337"/>
      <c r="I7" s="3336"/>
      <c r="J7" s="804"/>
      <c r="K7" s="677"/>
    </row>
    <row r="8" spans="1:11" ht="15.6">
      <c r="A8" s="3336" t="str">
        <f>E3</f>
        <v>תוכן הענינים</v>
      </c>
      <c r="B8" s="3336"/>
      <c r="C8" s="3336"/>
      <c r="D8" s="3336"/>
      <c r="E8" s="3336"/>
      <c r="F8" s="3336"/>
      <c r="G8" s="3336"/>
      <c r="H8" s="3336"/>
      <c r="I8" s="3336"/>
      <c r="J8" s="804"/>
      <c r="K8" s="677"/>
    </row>
    <row r="9" spans="1:11">
      <c r="A9" s="646"/>
      <c r="B9" s="646"/>
      <c r="C9" s="646"/>
      <c r="D9" s="656"/>
      <c r="E9" s="646"/>
      <c r="F9" s="646"/>
      <c r="G9" s="807"/>
      <c r="H9" s="646"/>
      <c r="I9" s="2927" t="s">
        <v>1019</v>
      </c>
      <c r="J9" s="804"/>
      <c r="K9" s="677"/>
    </row>
    <row r="10" spans="1:11" ht="24.75" customHeight="1">
      <c r="A10" s="808" t="s">
        <v>1010</v>
      </c>
      <c r="B10" s="646"/>
      <c r="C10" s="646"/>
      <c r="D10" s="656"/>
      <c r="E10" s="646"/>
      <c r="F10" s="646"/>
      <c r="G10" s="807"/>
      <c r="H10" s="646"/>
      <c r="I10" s="3022" t="s">
        <v>914</v>
      </c>
      <c r="J10" s="646"/>
      <c r="K10" s="677"/>
    </row>
    <row r="11" spans="1:11">
      <c r="A11" s="646"/>
      <c r="B11" s="646"/>
      <c r="C11" s="646"/>
      <c r="D11" s="656"/>
      <c r="E11" s="646"/>
      <c r="F11" s="646"/>
      <c r="G11" s="807"/>
      <c r="H11" s="646"/>
      <c r="I11" s="3023"/>
      <c r="J11" s="646"/>
      <c r="K11" s="677"/>
    </row>
    <row r="12" spans="1:11">
      <c r="A12" s="808" t="s">
        <v>1011</v>
      </c>
      <c r="B12" s="646"/>
      <c r="C12" s="646"/>
      <c r="D12" s="656"/>
      <c r="E12" s="646"/>
      <c r="F12" s="646"/>
      <c r="G12" s="807"/>
      <c r="H12" s="646"/>
      <c r="I12" s="3321" t="s">
        <v>2574</v>
      </c>
      <c r="J12" s="646"/>
      <c r="K12" s="677"/>
    </row>
    <row r="13" spans="1:11">
      <c r="A13" s="646" t="s">
        <v>1012</v>
      </c>
      <c r="B13" s="646"/>
      <c r="C13" s="646"/>
      <c r="D13" s="656"/>
      <c r="E13" s="646"/>
      <c r="F13" s="646"/>
      <c r="G13" s="807"/>
      <c r="H13" s="646"/>
      <c r="I13" s="3321"/>
      <c r="J13" s="646"/>
      <c r="K13" s="677"/>
    </row>
    <row r="14" spans="1:11">
      <c r="A14" s="646" t="s">
        <v>1013</v>
      </c>
      <c r="B14" s="646"/>
      <c r="C14" s="646"/>
      <c r="D14" s="656"/>
      <c r="E14" s="646"/>
      <c r="F14" s="646"/>
      <c r="G14" s="807"/>
      <c r="H14" s="646"/>
      <c r="I14" s="3321" t="s">
        <v>918</v>
      </c>
      <c r="J14" s="646"/>
      <c r="K14" s="677"/>
    </row>
    <row r="15" spans="1:11">
      <c r="A15" s="646" t="s">
        <v>1014</v>
      </c>
      <c r="B15" s="646"/>
      <c r="C15" s="646"/>
      <c r="D15" s="656"/>
      <c r="E15" s="646"/>
      <c r="F15" s="646"/>
      <c r="G15" s="807"/>
      <c r="H15" s="646"/>
      <c r="I15" s="3321" t="s">
        <v>920</v>
      </c>
      <c r="J15" s="646"/>
      <c r="K15" s="677"/>
    </row>
    <row r="16" spans="1:11">
      <c r="A16" s="646" t="s">
        <v>1015</v>
      </c>
      <c r="B16" s="646"/>
      <c r="C16" s="646"/>
      <c r="D16" s="656"/>
      <c r="E16" s="646"/>
      <c r="F16" s="646"/>
      <c r="G16" s="807"/>
      <c r="H16" s="646"/>
      <c r="I16" s="3321" t="s">
        <v>2575</v>
      </c>
      <c r="J16" s="646"/>
      <c r="K16" s="677"/>
    </row>
    <row r="17" spans="1:11">
      <c r="A17" s="646"/>
      <c r="B17" s="646"/>
      <c r="C17" s="646"/>
      <c r="D17" s="656"/>
      <c r="E17" s="646"/>
      <c r="F17" s="646"/>
      <c r="G17" s="807"/>
      <c r="H17" s="646"/>
      <c r="I17" s="3023"/>
      <c r="J17" s="646"/>
      <c r="K17" s="677"/>
    </row>
    <row r="18" spans="1:11">
      <c r="A18" s="808" t="s">
        <v>1016</v>
      </c>
      <c r="B18" s="646"/>
      <c r="C18" s="646"/>
      <c r="D18" s="656"/>
      <c r="E18" s="646"/>
      <c r="F18" s="646"/>
      <c r="G18" s="807"/>
      <c r="H18" s="646"/>
      <c r="I18" s="3321" t="s">
        <v>2668</v>
      </c>
      <c r="J18" s="646"/>
      <c r="K18" s="677"/>
    </row>
    <row r="19" spans="1:11">
      <c r="A19" s="646"/>
      <c r="B19" s="646"/>
      <c r="C19" s="646"/>
      <c r="D19" s="656"/>
      <c r="E19" s="646"/>
      <c r="F19" s="646"/>
      <c r="G19" s="807"/>
      <c r="H19" s="646"/>
      <c r="I19" s="3023"/>
      <c r="J19" s="646"/>
      <c r="K19" s="677"/>
    </row>
    <row r="20" spans="1:11">
      <c r="A20" s="808" t="s">
        <v>1017</v>
      </c>
      <c r="B20" s="646"/>
      <c r="C20" s="646"/>
      <c r="D20" s="656"/>
      <c r="E20" s="646"/>
      <c r="F20" s="646"/>
      <c r="G20" s="807"/>
      <c r="H20" s="646"/>
      <c r="I20" s="3023"/>
      <c r="J20" s="646"/>
      <c r="K20" s="677"/>
    </row>
    <row r="21" spans="1:11">
      <c r="A21" s="646" t="s">
        <v>508</v>
      </c>
      <c r="B21" s="656"/>
      <c r="C21" s="656"/>
      <c r="D21" s="656"/>
      <c r="E21" s="656"/>
      <c r="F21" s="656"/>
      <c r="G21" s="807"/>
      <c r="H21" s="807"/>
      <c r="I21" s="3322" t="s">
        <v>2669</v>
      </c>
      <c r="J21" s="646"/>
      <c r="K21" s="677"/>
    </row>
    <row r="22" spans="1:11">
      <c r="A22" s="646" t="s">
        <v>509</v>
      </c>
      <c r="B22" s="656"/>
      <c r="C22" s="656"/>
      <c r="D22" s="656"/>
      <c r="E22" s="656"/>
      <c r="F22" s="656"/>
      <c r="G22" s="807"/>
      <c r="H22" s="807"/>
      <c r="I22" s="3322" t="s">
        <v>2670</v>
      </c>
      <c r="J22" s="646"/>
      <c r="K22" s="677"/>
    </row>
    <row r="23" spans="1:11">
      <c r="A23" s="646" t="s">
        <v>510</v>
      </c>
      <c r="B23" s="656"/>
      <c r="C23" s="656"/>
      <c r="D23" s="656"/>
      <c r="E23" s="656"/>
      <c r="F23" s="656"/>
      <c r="G23" s="807"/>
      <c r="H23" s="807"/>
      <c r="I23" s="3322" t="s">
        <v>2671</v>
      </c>
      <c r="J23" s="646"/>
      <c r="K23" s="677"/>
    </row>
    <row r="24" spans="1:11">
      <c r="A24" s="646" t="s">
        <v>1224</v>
      </c>
      <c r="B24" s="656"/>
      <c r="C24" s="656"/>
      <c r="D24" s="656"/>
      <c r="E24" s="656"/>
      <c r="F24" s="656"/>
      <c r="G24" s="807"/>
      <c r="H24" s="807"/>
      <c r="I24" s="3024"/>
      <c r="J24" s="646"/>
      <c r="K24" s="677"/>
    </row>
    <row r="25" spans="1:11">
      <c r="A25" s="646" t="s">
        <v>511</v>
      </c>
      <c r="B25" s="656"/>
      <c r="C25" s="656"/>
      <c r="D25" s="656"/>
      <c r="E25" s="656"/>
      <c r="F25" s="656"/>
      <c r="G25" s="807"/>
      <c r="H25" s="807"/>
      <c r="I25" s="3322" t="s">
        <v>2576</v>
      </c>
      <c r="J25" s="646"/>
      <c r="K25" s="677"/>
    </row>
    <row r="26" spans="1:11">
      <c r="A26" s="646" t="s">
        <v>1020</v>
      </c>
      <c r="B26" s="656"/>
      <c r="C26" s="656"/>
      <c r="D26" s="656"/>
      <c r="E26" s="656"/>
      <c r="F26" s="656"/>
      <c r="G26" s="807"/>
      <c r="H26" s="807"/>
      <c r="I26" s="3322"/>
      <c r="J26" s="646"/>
      <c r="K26" s="677"/>
    </row>
    <row r="27" spans="1:11">
      <c r="A27" s="646" t="s">
        <v>512</v>
      </c>
      <c r="B27" s="656"/>
      <c r="C27" s="656"/>
      <c r="D27" s="656"/>
      <c r="E27" s="656"/>
      <c r="F27" s="656"/>
      <c r="G27" s="807"/>
      <c r="H27" s="807"/>
      <c r="I27" s="3322" t="s">
        <v>2577</v>
      </c>
      <c r="J27" s="646"/>
      <c r="K27" s="677"/>
    </row>
    <row r="28" spans="1:11">
      <c r="A28" s="646" t="s">
        <v>513</v>
      </c>
      <c r="B28" s="656"/>
      <c r="C28" s="656"/>
      <c r="D28" s="656"/>
      <c r="E28" s="656"/>
      <c r="F28" s="656"/>
      <c r="G28" s="809"/>
      <c r="H28" s="656"/>
      <c r="I28" s="3323" t="s">
        <v>2578</v>
      </c>
      <c r="J28" s="646"/>
      <c r="K28" s="677"/>
    </row>
    <row r="29" spans="1:11">
      <c r="A29" s="646" t="s">
        <v>514</v>
      </c>
      <c r="B29" s="656"/>
      <c r="C29" s="656"/>
      <c r="D29" s="656"/>
      <c r="E29" s="656"/>
      <c r="F29" s="656"/>
      <c r="G29" s="809"/>
      <c r="H29" s="656"/>
      <c r="I29" s="3323" t="s">
        <v>2579</v>
      </c>
      <c r="J29" s="646"/>
      <c r="K29" s="677"/>
    </row>
    <row r="30" spans="1:11">
      <c r="A30" s="646" t="s">
        <v>515</v>
      </c>
      <c r="B30" s="646"/>
      <c r="C30" s="646"/>
      <c r="D30" s="646"/>
      <c r="E30" s="646"/>
      <c r="F30" s="646"/>
      <c r="G30" s="646"/>
      <c r="H30" s="646"/>
      <c r="I30" s="3321" t="s">
        <v>2580</v>
      </c>
      <c r="J30" s="646"/>
      <c r="K30" s="677"/>
    </row>
    <row r="31" spans="1:11">
      <c r="A31" s="646" t="s">
        <v>516</v>
      </c>
      <c r="B31" s="656"/>
      <c r="C31" s="646"/>
      <c r="D31" s="646"/>
      <c r="E31" s="646"/>
      <c r="F31" s="646"/>
      <c r="G31" s="646"/>
      <c r="H31" s="646"/>
      <c r="I31" s="3321" t="s">
        <v>2581</v>
      </c>
      <c r="J31" s="646"/>
      <c r="K31" s="677"/>
    </row>
    <row r="32" spans="1:11">
      <c r="A32" s="646" t="str">
        <f>CONCATENATE("10. ", "שינויים מהותיים בין תקציב ",Shana, " ", "לבין הביצוע בשנת ", ShanaKodemet, " - ","נספח 7 לטופס 2" )</f>
        <v>10. שינויים מהותיים בין תקציב 2015 לבין הביצוע בשנת 2014 - נספח 7 לטופס 2</v>
      </c>
      <c r="B32" s="656"/>
      <c r="C32" s="646"/>
      <c r="D32" s="646"/>
      <c r="E32" s="646"/>
      <c r="F32" s="646"/>
      <c r="G32" s="646"/>
      <c r="H32" s="646"/>
      <c r="I32" s="3321" t="s">
        <v>2582</v>
      </c>
      <c r="J32" s="646"/>
      <c r="K32" s="677"/>
    </row>
    <row r="33" spans="1:11">
      <c r="A33" s="646" t="str">
        <f>CONCATENATE("11. ", "השוואת ביצוע בשנת ",Shana, " ", "לעומת הביצוע בשנת ", ShanaKodemet, " - ","נספח 8 לטופס 2" )</f>
        <v>11. השוואת ביצוע בשנת 2015 לעומת הביצוע בשנת 2014 - נספח 8 לטופס 2</v>
      </c>
      <c r="B33" s="656"/>
      <c r="C33" s="646"/>
      <c r="D33" s="646"/>
      <c r="E33" s="646"/>
      <c r="F33" s="646"/>
      <c r="G33" s="646"/>
      <c r="H33" s="646"/>
      <c r="I33" s="3321" t="s">
        <v>2583</v>
      </c>
      <c r="J33" s="646"/>
      <c r="K33" s="677"/>
    </row>
    <row r="34" spans="1:11">
      <c r="A34" s="646" t="str">
        <f>CONCATENATE("12. ", "השוואת התקציב בשנת ",Shana, " ", "לעומת הביצוע בשנת ", Shana, " - ","נספח 9 לטופס 2" )</f>
        <v>12. השוואת התקציב בשנת 2015 לעומת הביצוע בשנת 2015 - נספח 9 לטופס 2</v>
      </c>
      <c r="B34" s="656"/>
      <c r="C34" s="646"/>
      <c r="D34" s="646"/>
      <c r="E34" s="646"/>
      <c r="F34" s="646"/>
      <c r="G34" s="646"/>
      <c r="H34" s="646"/>
      <c r="I34" s="3321" t="s">
        <v>2584</v>
      </c>
      <c r="J34" s="646"/>
      <c r="K34" s="677"/>
    </row>
    <row r="35" spans="1:11">
      <c r="A35" s="646" t="s">
        <v>517</v>
      </c>
      <c r="B35" s="656"/>
      <c r="C35" s="646"/>
      <c r="D35" s="646"/>
      <c r="E35" s="646"/>
      <c r="F35" s="646"/>
      <c r="G35" s="646"/>
      <c r="H35" s="646"/>
      <c r="I35" s="3321" t="s">
        <v>2672</v>
      </c>
      <c r="J35" s="646"/>
      <c r="K35" s="677"/>
    </row>
    <row r="36" spans="1:11">
      <c r="A36" s="656"/>
      <c r="B36" s="656"/>
      <c r="C36" s="646"/>
      <c r="D36" s="646"/>
      <c r="E36" s="646"/>
      <c r="F36" s="646"/>
      <c r="G36" s="646"/>
      <c r="H36" s="646"/>
      <c r="I36" s="3023"/>
      <c r="J36" s="646"/>
      <c r="K36" s="677"/>
    </row>
    <row r="37" spans="1:11">
      <c r="A37" s="808" t="s">
        <v>1018</v>
      </c>
      <c r="B37" s="656"/>
      <c r="C37" s="646"/>
      <c r="D37" s="646"/>
      <c r="E37" s="646"/>
      <c r="F37" s="646"/>
      <c r="G37" s="646"/>
      <c r="H37" s="646"/>
      <c r="I37" s="3023"/>
      <c r="J37" s="646"/>
      <c r="K37" s="677"/>
    </row>
    <row r="38" spans="1:11">
      <c r="A38" s="646" t="str">
        <f>CONCATENATE("השתתפויות ותמיכות שנתנו על ידי ה",SugGufMevukar," בשנת ",Shana)</f>
        <v>השתתפויות ותמיכות שנתנו על ידי העירייה בשנת 2015</v>
      </c>
      <c r="B38" s="656"/>
      <c r="C38" s="646"/>
      <c r="D38" s="646"/>
      <c r="E38" s="646"/>
      <c r="F38" s="646"/>
      <c r="G38" s="646"/>
      <c r="H38" s="646"/>
      <c r="I38" s="3321" t="s">
        <v>2673</v>
      </c>
      <c r="J38" s="646"/>
      <c r="K38" s="677"/>
    </row>
    <row r="39" spans="1:11">
      <c r="A39" s="646"/>
      <c r="B39" s="656"/>
      <c r="C39" s="646"/>
      <c r="D39" s="646"/>
      <c r="E39" s="646"/>
      <c r="F39" s="646"/>
      <c r="G39" s="646"/>
      <c r="H39" s="646"/>
      <c r="I39" s="3023"/>
      <c r="J39" s="646"/>
      <c r="K39" s="677"/>
    </row>
    <row r="40" spans="1:11">
      <c r="A40" s="646"/>
      <c r="B40" s="656"/>
      <c r="C40" s="646"/>
      <c r="D40" s="646"/>
      <c r="E40" s="646"/>
      <c r="F40" s="646"/>
      <c r="G40" s="646"/>
      <c r="H40" s="646"/>
      <c r="I40" s="3023"/>
      <c r="J40" s="646"/>
      <c r="K40" s="677"/>
    </row>
    <row r="41" spans="1:11" ht="13.8" thickBot="1">
      <c r="A41" s="646"/>
      <c r="B41" s="646"/>
      <c r="C41" s="646"/>
      <c r="D41" s="646"/>
      <c r="E41" s="646"/>
      <c r="F41" s="646"/>
      <c r="G41" s="646"/>
      <c r="H41" s="646"/>
      <c r="I41" s="2924"/>
      <c r="J41" s="646"/>
      <c r="K41" s="677"/>
    </row>
    <row r="42" spans="1:11" ht="13.8" thickTop="1">
      <c r="A42" s="810"/>
      <c r="B42" s="810"/>
      <c r="C42" s="810"/>
      <c r="D42" s="810"/>
      <c r="E42" s="810"/>
      <c r="F42" s="810"/>
      <c r="G42" s="810"/>
      <c r="H42" s="810"/>
      <c r="I42" s="2928"/>
      <c r="J42" s="810"/>
    </row>
    <row r="52" spans="5:9">
      <c r="E52" s="811"/>
      <c r="G52" s="812"/>
      <c r="I52" s="2929"/>
    </row>
  </sheetData>
  <sheetProtection password="83C1" sheet="1" objects="1" scenarios="1"/>
  <mergeCells count="6">
    <mergeCell ref="A6:I6"/>
    <mergeCell ref="A7:I7"/>
    <mergeCell ref="A8:I8"/>
    <mergeCell ref="E1:J1"/>
    <mergeCell ref="E2:J2"/>
    <mergeCell ref="E3:J3"/>
  </mergeCells>
  <phoneticPr fontId="4" type="noConversion"/>
  <hyperlinks>
    <hyperlink ref="A4" location="'תוכן הענינים'!A1" tooltip="לחץ להצגת גליון תוכן הענינים" display="הצג תוכן ענינים"/>
  </hyperlinks>
  <printOptions horizontalCentered="1"/>
  <pageMargins left="0.75" right="0.75" top="0.75" bottom="1" header="0.25" footer="0.5"/>
  <pageSetup paperSize="9" fitToHeight="0" orientation="portrait" blackAndWhite="1" horizontalDpi="300" verticalDpi="300" r:id="rId1"/>
  <headerFooter alignWithMargins="0">
    <oddHeader>&amp;L&amp;8&amp;A</oddHeader>
    <oddFooter>&amp;C&amp;8&amp;P</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pageSetUpPr autoPageBreaks="0"/>
  </sheetPr>
  <dimension ref="A1:N247"/>
  <sheetViews>
    <sheetView showGridLines="0" showRowColHeaders="0" showZeros="0" rightToLeft="1" showOutlineSymbols="0" zoomScale="80" zoomScaleNormal="100" zoomScaleSheetLayoutView="75" workbookViewId="0">
      <selection activeCell="A4" sqref="A4"/>
    </sheetView>
  </sheetViews>
  <sheetFormatPr defaultColWidth="8.88671875" defaultRowHeight="13.2"/>
  <cols>
    <col min="1" max="2" width="8.88671875" style="179" customWidth="1"/>
    <col min="3" max="3" width="4.6640625" style="1127" customWidth="1"/>
    <col min="4" max="4" width="31" style="1127" customWidth="1"/>
    <col min="5" max="9" width="12.33203125" style="1127" customWidth="1"/>
    <col min="10" max="10" width="9.109375" style="1127" customWidth="1"/>
    <col min="11" max="11" width="15.5546875" style="179" customWidth="1"/>
    <col min="12" max="16384" width="8.88671875" style="179"/>
  </cols>
  <sheetData>
    <row r="1" spans="1:12" ht="15.75" customHeight="1">
      <c r="A1" s="181"/>
      <c r="B1" s="1074"/>
      <c r="C1" s="1075"/>
      <c r="D1" s="1075"/>
      <c r="E1" s="3533" t="str">
        <f>'הגדרות כלליות'!D6</f>
        <v>עירית הרצליה</v>
      </c>
      <c r="F1" s="3535"/>
      <c r="G1" s="3535"/>
      <c r="H1" s="3535"/>
      <c r="I1" s="3535"/>
      <c r="J1" s="3535"/>
      <c r="K1" s="3536"/>
      <c r="L1" s="178"/>
    </row>
    <row r="2" spans="1:12" ht="12.75" customHeight="1">
      <c r="A2" s="181"/>
      <c r="B2" s="1074"/>
      <c r="C2" s="1074"/>
      <c r="D2" s="1074"/>
      <c r="E2" s="3533" t="str">
        <f>CONCATENATE("הדוח הכספי לשנת ",'הגדרות כלליות'!D10)</f>
        <v>הדוח הכספי לשנת 2015</v>
      </c>
      <c r="F2" s="3533"/>
      <c r="G2" s="3533"/>
      <c r="H2" s="3533"/>
      <c r="I2" s="3533"/>
      <c r="J2" s="3533"/>
      <c r="K2" s="3534"/>
      <c r="L2" s="178"/>
    </row>
    <row r="3" spans="1:12" ht="12" customHeight="1">
      <c r="A3" s="181"/>
      <c r="B3" s="1074"/>
      <c r="C3" s="1076"/>
      <c r="D3" s="1076"/>
      <c r="E3" s="3394" t="s">
        <v>814</v>
      </c>
      <c r="F3" s="3394"/>
      <c r="G3" s="3394"/>
      <c r="H3" s="3394"/>
      <c r="I3" s="3394"/>
      <c r="J3" s="3394"/>
      <c r="K3" s="3394"/>
      <c r="L3" s="178"/>
    </row>
    <row r="4" spans="1:12" ht="14.25" customHeight="1">
      <c r="A4" s="7" t="s">
        <v>339</v>
      </c>
      <c r="B4" s="1077"/>
      <c r="C4" s="1078"/>
      <c r="D4" s="1078"/>
      <c r="E4" s="1078"/>
      <c r="F4" s="1078"/>
      <c r="G4" s="1078"/>
      <c r="H4" s="1078"/>
      <c r="I4" s="1078"/>
      <c r="J4" s="1077"/>
      <c r="K4" s="1077"/>
      <c r="L4" s="178"/>
    </row>
    <row r="5" spans="1:12" ht="35.25" customHeight="1">
      <c r="A5" s="195"/>
      <c r="B5" s="1077"/>
      <c r="C5" s="1079" t="s">
        <v>849</v>
      </c>
      <c r="D5" s="1080" t="s">
        <v>850</v>
      </c>
      <c r="E5" s="1080" t="s">
        <v>851</v>
      </c>
      <c r="F5" s="1080" t="s">
        <v>852</v>
      </c>
      <c r="G5" s="1080" t="s">
        <v>853</v>
      </c>
      <c r="H5" s="1080" t="s">
        <v>309</v>
      </c>
      <c r="I5" s="1081" t="s">
        <v>816</v>
      </c>
      <c r="J5" s="1082"/>
      <c r="K5" s="1083"/>
      <c r="L5" s="178"/>
    </row>
    <row r="6" spans="1:12" ht="12.75" hidden="1" customHeight="1">
      <c r="A6" s="195"/>
      <c r="B6" s="1077"/>
      <c r="C6" s="1084"/>
      <c r="D6" s="1085"/>
      <c r="E6" s="1085"/>
      <c r="F6" s="1085"/>
      <c r="G6" s="1085"/>
      <c r="H6" s="1085"/>
      <c r="I6" s="1086"/>
      <c r="J6" s="1077"/>
      <c r="K6" s="1077"/>
      <c r="L6" s="178"/>
    </row>
    <row r="7" spans="1:12" ht="12.75" customHeight="1">
      <c r="A7" s="195"/>
      <c r="B7" s="1077"/>
      <c r="C7" s="1016" t="s">
        <v>826</v>
      </c>
      <c r="D7" s="1087" t="s">
        <v>827</v>
      </c>
      <c r="E7" s="1085"/>
      <c r="F7" s="1085"/>
      <c r="G7" s="1085"/>
      <c r="H7" s="1085"/>
      <c r="I7" s="1086"/>
      <c r="J7" s="1077"/>
      <c r="K7" s="1077"/>
      <c r="L7" s="178"/>
    </row>
    <row r="8" spans="1:12" ht="12.75" customHeight="1">
      <c r="A8" s="195"/>
      <c r="B8" s="1077"/>
      <c r="C8" s="1016">
        <v>1</v>
      </c>
      <c r="D8" s="2607" t="s">
        <v>1435</v>
      </c>
      <c r="E8" s="1085"/>
      <c r="F8" s="1085"/>
      <c r="G8" s="1085"/>
      <c r="H8" s="1085"/>
      <c r="I8" s="1086"/>
      <c r="J8" s="1077"/>
      <c r="K8" s="1077"/>
      <c r="L8" s="178"/>
    </row>
    <row r="9" spans="1:12" ht="13.5" customHeight="1">
      <c r="A9" s="195"/>
      <c r="B9" s="1077"/>
      <c r="C9" s="2608">
        <v>1.1000000000000001</v>
      </c>
      <c r="D9" s="1088" t="s">
        <v>32</v>
      </c>
      <c r="E9" s="998">
        <f>'נספח א'!L9+'נספח א'!L10</f>
        <v>216971.23</v>
      </c>
      <c r="F9" s="1092">
        <v>481</v>
      </c>
      <c r="G9" s="1092">
        <v>1128</v>
      </c>
      <c r="H9" s="1092">
        <v>3654</v>
      </c>
      <c r="I9" s="1094">
        <f t="shared" ref="I9:I20" si="0">SUM(E9:H9)</f>
        <v>222234.23</v>
      </c>
      <c r="J9" s="1077"/>
      <c r="K9" s="1077"/>
      <c r="L9" s="178"/>
    </row>
    <row r="10" spans="1:12" ht="13.5" customHeight="1">
      <c r="A10" s="195"/>
      <c r="B10" s="1077"/>
      <c r="C10" s="2608">
        <v>1.2</v>
      </c>
      <c r="D10" s="1088" t="s">
        <v>30</v>
      </c>
      <c r="E10" s="998">
        <f>'נספח א'!L23+'נספח א'!L25-E9</f>
        <v>311639.56000000006</v>
      </c>
      <c r="F10" s="1092">
        <v>1357</v>
      </c>
      <c r="G10" s="1092">
        <v>5338</v>
      </c>
      <c r="H10" s="1092">
        <v>4915</v>
      </c>
      <c r="I10" s="1094">
        <f>SUM(E10:H10)</f>
        <v>323249.56000000006</v>
      </c>
      <c r="J10" s="1077"/>
      <c r="K10" s="1077"/>
      <c r="L10" s="178"/>
    </row>
    <row r="11" spans="1:12" ht="13.5" customHeight="1">
      <c r="A11" s="195"/>
      <c r="B11" s="1077"/>
      <c r="C11" s="2608" t="s">
        <v>40</v>
      </c>
      <c r="D11" s="1088" t="s">
        <v>36</v>
      </c>
      <c r="E11" s="2604"/>
      <c r="F11" s="2605"/>
      <c r="G11" s="2605">
        <v>6447</v>
      </c>
      <c r="H11" s="2605">
        <v>6087</v>
      </c>
      <c r="I11" s="2879">
        <f t="shared" si="0"/>
        <v>12534</v>
      </c>
      <c r="J11" s="1077"/>
      <c r="K11" s="1077"/>
      <c r="L11" s="178"/>
    </row>
    <row r="12" spans="1:12" ht="13.5" customHeight="1">
      <c r="A12" s="195"/>
      <c r="B12" s="1077"/>
      <c r="C12" s="1084"/>
      <c r="D12" s="1088" t="s">
        <v>31</v>
      </c>
      <c r="E12" s="1112">
        <f>SUM(E9:E11)</f>
        <v>528610.79</v>
      </c>
      <c r="F12" s="1112">
        <f>SUM(F9:F11)</f>
        <v>1838</v>
      </c>
      <c r="G12" s="1112">
        <f>SUM(G9:G11)</f>
        <v>12913</v>
      </c>
      <c r="H12" s="1112">
        <f>SUM(H9:H11)</f>
        <v>14656</v>
      </c>
      <c r="I12" s="1114">
        <f t="shared" si="0"/>
        <v>558017.79</v>
      </c>
      <c r="J12" s="1077"/>
      <c r="K12" s="1077"/>
      <c r="L12" s="178"/>
    </row>
    <row r="13" spans="1:12" ht="13.5" customHeight="1">
      <c r="A13" s="195"/>
      <c r="B13" s="1077"/>
      <c r="C13" s="2888">
        <v>2</v>
      </c>
      <c r="D13" s="2607" t="s">
        <v>33</v>
      </c>
      <c r="E13" s="2610"/>
      <c r="F13" s="2611"/>
      <c r="G13" s="2611"/>
      <c r="H13" s="2611"/>
      <c r="I13" s="2882">
        <f t="shared" si="0"/>
        <v>0</v>
      </c>
      <c r="J13" s="1077"/>
      <c r="K13" s="1077"/>
      <c r="L13" s="178"/>
    </row>
    <row r="14" spans="1:12" ht="13.5" customHeight="1">
      <c r="A14" s="195"/>
      <c r="B14" s="1077"/>
      <c r="C14" s="2608">
        <v>2.1</v>
      </c>
      <c r="D14" s="2881" t="s">
        <v>37</v>
      </c>
      <c r="E14" s="2877"/>
      <c r="F14" s="2880"/>
      <c r="G14" s="2880">
        <v>36</v>
      </c>
      <c r="H14" s="2880"/>
      <c r="I14" s="2883">
        <f t="shared" si="0"/>
        <v>36</v>
      </c>
      <c r="J14" s="1077"/>
      <c r="K14" s="1077"/>
      <c r="L14" s="178"/>
    </row>
    <row r="15" spans="1:12" ht="13.5" customHeight="1">
      <c r="A15" s="195"/>
      <c r="B15" s="1077"/>
      <c r="C15" s="2608">
        <v>2.2000000000000002</v>
      </c>
      <c r="D15" s="2881" t="s">
        <v>38</v>
      </c>
      <c r="E15" s="2877"/>
      <c r="F15" s="2880"/>
      <c r="G15" s="2880">
        <v>1030</v>
      </c>
      <c r="H15" s="2880">
        <v>669</v>
      </c>
      <c r="I15" s="2883">
        <f t="shared" si="0"/>
        <v>1699</v>
      </c>
      <c r="J15" s="1077"/>
      <c r="K15" s="1077"/>
      <c r="L15" s="178"/>
    </row>
    <row r="16" spans="1:12" ht="13.5" customHeight="1">
      <c r="A16" s="195"/>
      <c r="B16" s="1077"/>
      <c r="C16" s="2608"/>
      <c r="D16" s="1088" t="s">
        <v>39</v>
      </c>
      <c r="E16" s="1112">
        <f>SUM(E14:E15)</f>
        <v>0</v>
      </c>
      <c r="F16" s="1112">
        <f>SUM(F14:F15)</f>
        <v>0</v>
      </c>
      <c r="G16" s="1112">
        <f>SUM(G14:G15)</f>
        <v>1066</v>
      </c>
      <c r="H16" s="1112">
        <f>SUM(H14:H15)</f>
        <v>669</v>
      </c>
      <c r="I16" s="1114">
        <f t="shared" si="0"/>
        <v>1735</v>
      </c>
      <c r="J16" s="1077"/>
      <c r="K16" s="1077"/>
      <c r="L16" s="178"/>
    </row>
    <row r="17" spans="1:14" ht="13.5" customHeight="1">
      <c r="A17" s="195"/>
      <c r="B17" s="1077"/>
      <c r="C17" s="2608" t="s">
        <v>41</v>
      </c>
      <c r="D17" s="2881" t="s">
        <v>828</v>
      </c>
      <c r="E17" s="2877"/>
      <c r="F17" s="2880"/>
      <c r="G17" s="2880">
        <v>9</v>
      </c>
      <c r="H17" s="2880">
        <v>-19</v>
      </c>
      <c r="I17" s="2883">
        <f t="shared" si="0"/>
        <v>-10</v>
      </c>
      <c r="J17" s="1077"/>
      <c r="K17" s="1077"/>
      <c r="L17" s="178"/>
    </row>
    <row r="18" spans="1:14" ht="13.5" customHeight="1">
      <c r="A18" s="195"/>
      <c r="B18" s="1077"/>
      <c r="C18" s="2888">
        <v>3</v>
      </c>
      <c r="D18" s="2881" t="str">
        <f>'נספח 2 לטופס 1'!C21</f>
        <v>חובות מסופקים וחובות גביה ביוב</v>
      </c>
      <c r="E18" s="1095"/>
      <c r="F18" s="1096"/>
      <c r="G18" s="1096">
        <v>16</v>
      </c>
      <c r="H18" s="1096">
        <v>-170</v>
      </c>
      <c r="I18" s="1097">
        <f t="shared" si="0"/>
        <v>-154</v>
      </c>
      <c r="J18" s="1077"/>
      <c r="K18" s="1077"/>
      <c r="L18" s="178"/>
    </row>
    <row r="19" spans="1:14" ht="13.5" customHeight="1">
      <c r="A19" s="195"/>
      <c r="B19" s="1077"/>
      <c r="C19" s="2888">
        <v>4</v>
      </c>
      <c r="D19" s="2603" t="s">
        <v>42</v>
      </c>
      <c r="E19" s="1095"/>
      <c r="F19" s="1096"/>
      <c r="G19" s="1096"/>
      <c r="H19" s="1096"/>
      <c r="I19" s="1097">
        <f t="shared" si="0"/>
        <v>0</v>
      </c>
      <c r="J19" s="1077"/>
      <c r="K19" s="1077"/>
      <c r="L19" s="178"/>
    </row>
    <row r="20" spans="1:14" ht="13.5" customHeight="1">
      <c r="A20" s="195"/>
      <c r="B20" s="1077"/>
      <c r="C20" s="1084"/>
      <c r="D20" s="1098" t="s">
        <v>854</v>
      </c>
      <c r="E20" s="1099">
        <f>E12+E13+E16+E17+E18+E19</f>
        <v>528610.79</v>
      </c>
      <c r="F20" s="1099">
        <f>F12+F13+F16+F17+F18+F19</f>
        <v>1838</v>
      </c>
      <c r="G20" s="1099">
        <f>G12+G13+G16+G17+G18+G19</f>
        <v>14004</v>
      </c>
      <c r="H20" s="1099">
        <f>H12+H13+H16+H17+H18+H19</f>
        <v>15136</v>
      </c>
      <c r="I20" s="1101">
        <f t="shared" si="0"/>
        <v>559588.79</v>
      </c>
      <c r="J20" s="1102"/>
      <c r="K20" s="1077"/>
      <c r="L20" s="178"/>
    </row>
    <row r="21" spans="1:14" ht="2.25" customHeight="1">
      <c r="A21" s="195"/>
      <c r="B21" s="1077"/>
      <c r="C21" s="1084"/>
      <c r="D21" s="1088"/>
      <c r="E21" s="1103"/>
      <c r="F21" s="1104"/>
      <c r="G21" s="1104"/>
      <c r="H21" s="1104"/>
      <c r="I21" s="1105"/>
      <c r="J21" s="1077"/>
      <c r="K21" s="1077"/>
      <c r="L21" s="178"/>
    </row>
    <row r="22" spans="1:14" ht="11.25" customHeight="1">
      <c r="A22" s="195"/>
      <c r="B22" s="1077"/>
      <c r="C22" s="1016" t="s">
        <v>830</v>
      </c>
      <c r="D22" s="1087" t="s">
        <v>831</v>
      </c>
      <c r="E22" s="1106"/>
      <c r="F22" s="1107"/>
      <c r="G22" s="1107"/>
      <c r="H22" s="1107"/>
      <c r="I22" s="1108"/>
      <c r="J22" s="1077"/>
      <c r="K22" s="1077"/>
      <c r="L22" s="178"/>
    </row>
    <row r="23" spans="1:14" ht="13.5" customHeight="1">
      <c r="A23" s="195"/>
      <c r="B23" s="1077"/>
      <c r="C23" s="1084">
        <v>1</v>
      </c>
      <c r="D23" s="1109" t="s">
        <v>832</v>
      </c>
      <c r="E23" s="1092"/>
      <c r="F23" s="1092"/>
      <c r="G23" s="1092"/>
      <c r="H23" s="1092">
        <v>30742</v>
      </c>
      <c r="I23" s="1094">
        <f t="shared" ref="I23:I40" si="1">SUM(E23:H23)</f>
        <v>30742</v>
      </c>
      <c r="J23" s="1077"/>
      <c r="K23" s="1077"/>
      <c r="L23" s="178"/>
    </row>
    <row r="24" spans="1:14" ht="13.5" customHeight="1">
      <c r="A24" s="195"/>
      <c r="B24" s="1077"/>
      <c r="C24" s="1110">
        <v>2</v>
      </c>
      <c r="D24" s="1109" t="s">
        <v>833</v>
      </c>
      <c r="E24" s="1092"/>
      <c r="F24" s="1092"/>
      <c r="G24" s="1092">
        <v>1</v>
      </c>
      <c r="H24" s="1092">
        <v>5124</v>
      </c>
      <c r="I24" s="1094">
        <f t="shared" si="1"/>
        <v>5125</v>
      </c>
      <c r="J24" s="1077"/>
      <c r="K24" s="1077"/>
      <c r="L24" s="178"/>
    </row>
    <row r="25" spans="1:14" ht="13.5" customHeight="1">
      <c r="A25" s="274"/>
      <c r="B25" s="1077"/>
      <c r="C25" s="1110">
        <v>3</v>
      </c>
      <c r="D25" s="1109" t="s">
        <v>834</v>
      </c>
      <c r="E25" s="1092"/>
      <c r="F25" s="1092"/>
      <c r="G25" s="1092"/>
      <c r="H25" s="1092">
        <v>762</v>
      </c>
      <c r="I25" s="1094">
        <f t="shared" si="1"/>
        <v>762</v>
      </c>
      <c r="J25" s="1077"/>
      <c r="K25" s="195"/>
      <c r="L25" s="178"/>
      <c r="N25" s="1111" t="s">
        <v>855</v>
      </c>
    </row>
    <row r="26" spans="1:14" ht="13.5" customHeight="1">
      <c r="A26" s="274"/>
      <c r="B26" s="1077"/>
      <c r="C26" s="1110">
        <v>4</v>
      </c>
      <c r="D26" s="1109" t="s">
        <v>835</v>
      </c>
      <c r="E26" s="1092"/>
      <c r="F26" s="1092"/>
      <c r="G26" s="1092">
        <v>8</v>
      </c>
      <c r="H26" s="1092">
        <v>349</v>
      </c>
      <c r="I26" s="1094">
        <f t="shared" si="1"/>
        <v>357</v>
      </c>
      <c r="J26" s="1077"/>
      <c r="K26" s="1077"/>
      <c r="L26" s="178"/>
    </row>
    <row r="27" spans="1:14" ht="13.5" customHeight="1">
      <c r="A27" s="274"/>
      <c r="B27" s="1077"/>
      <c r="C27" s="1084">
        <v>5</v>
      </c>
      <c r="D27" s="1109" t="s">
        <v>836</v>
      </c>
      <c r="E27" s="1092"/>
      <c r="F27" s="1092"/>
      <c r="G27" s="1092"/>
      <c r="H27" s="1092"/>
      <c r="I27" s="1094">
        <f t="shared" si="1"/>
        <v>0</v>
      </c>
      <c r="J27" s="1077"/>
      <c r="K27" s="1077"/>
      <c r="L27" s="178"/>
    </row>
    <row r="28" spans="1:14" ht="13.5" customHeight="1">
      <c r="A28" s="274"/>
      <c r="B28" s="1077"/>
      <c r="C28" s="1084">
        <v>6</v>
      </c>
      <c r="D28" s="1109" t="s">
        <v>837</v>
      </c>
      <c r="E28" s="1092"/>
      <c r="F28" s="1092"/>
      <c r="G28" s="1092"/>
      <c r="H28" s="1092"/>
      <c r="I28" s="1094">
        <f t="shared" si="1"/>
        <v>0</v>
      </c>
      <c r="J28" s="1077"/>
      <c r="K28" s="1077"/>
      <c r="L28" s="178"/>
    </row>
    <row r="29" spans="1:14" ht="13.5" customHeight="1">
      <c r="A29" s="274"/>
      <c r="B29" s="1077"/>
      <c r="C29" s="1084">
        <v>7</v>
      </c>
      <c r="D29" s="1109" t="s">
        <v>838</v>
      </c>
      <c r="E29" s="1092"/>
      <c r="F29" s="1092"/>
      <c r="G29" s="1092"/>
      <c r="H29" s="1092"/>
      <c r="I29" s="1094">
        <f t="shared" si="1"/>
        <v>0</v>
      </c>
      <c r="J29" s="1077"/>
      <c r="K29" s="1077"/>
      <c r="L29" s="178"/>
    </row>
    <row r="30" spans="1:14" ht="13.5" customHeight="1">
      <c r="A30" s="274"/>
      <c r="B30" s="1077"/>
      <c r="C30" s="1084">
        <v>8</v>
      </c>
      <c r="D30" s="1109" t="s">
        <v>839</v>
      </c>
      <c r="E30" s="1092"/>
      <c r="F30" s="1092"/>
      <c r="G30" s="1092">
        <v>1032</v>
      </c>
      <c r="H30" s="1092">
        <f>145363+32684</f>
        <v>178047</v>
      </c>
      <c r="I30" s="1094">
        <f t="shared" si="1"/>
        <v>179079</v>
      </c>
      <c r="J30" s="1077"/>
      <c r="K30" s="1077"/>
      <c r="L30" s="178"/>
    </row>
    <row r="31" spans="1:14" ht="13.5" customHeight="1">
      <c r="A31" s="274"/>
      <c r="B31" s="1077"/>
      <c r="C31" s="1084">
        <v>9</v>
      </c>
      <c r="D31" s="1109" t="s">
        <v>840</v>
      </c>
      <c r="E31" s="1092"/>
      <c r="F31" s="1092"/>
      <c r="G31" s="1092">
        <v>3105</v>
      </c>
      <c r="H31" s="1092">
        <v>51214</v>
      </c>
      <c r="I31" s="1094">
        <f t="shared" si="1"/>
        <v>54319</v>
      </c>
      <c r="J31" s="1077"/>
      <c r="K31" s="1077"/>
      <c r="L31" s="178"/>
    </row>
    <row r="32" spans="1:14" ht="13.5" customHeight="1">
      <c r="A32" s="274"/>
      <c r="B32" s="1077"/>
      <c r="C32" s="1084">
        <v>10</v>
      </c>
      <c r="D32" s="1109" t="s">
        <v>841</v>
      </c>
      <c r="E32" s="1092"/>
      <c r="F32" s="1092"/>
      <c r="G32" s="1092">
        <v>33</v>
      </c>
      <c r="H32" s="1092">
        <v>12708</v>
      </c>
      <c r="I32" s="1094">
        <f t="shared" si="1"/>
        <v>12741</v>
      </c>
      <c r="J32" s="1077"/>
      <c r="K32" s="1077"/>
      <c r="L32" s="178"/>
    </row>
    <row r="33" spans="1:12" ht="13.5" customHeight="1">
      <c r="A33" s="274"/>
      <c r="B33" s="1077"/>
      <c r="C33" s="1084">
        <v>11</v>
      </c>
      <c r="D33" s="1109" t="s">
        <v>842</v>
      </c>
      <c r="E33" s="1092"/>
      <c r="F33" s="1092"/>
      <c r="G33" s="1092">
        <v>3</v>
      </c>
      <c r="H33" s="1092">
        <v>76</v>
      </c>
      <c r="I33" s="1094">
        <f t="shared" si="1"/>
        <v>79</v>
      </c>
      <c r="J33" s="1077"/>
      <c r="K33" s="1077"/>
      <c r="L33" s="178"/>
    </row>
    <row r="34" spans="1:12" ht="13.5" customHeight="1">
      <c r="A34" s="274"/>
      <c r="B34" s="1077"/>
      <c r="C34" s="1084">
        <v>12</v>
      </c>
      <c r="D34" s="1109" t="s">
        <v>843</v>
      </c>
      <c r="E34" s="1092"/>
      <c r="F34" s="1092"/>
      <c r="G34" s="1092"/>
      <c r="H34" s="1092"/>
      <c r="I34" s="1094">
        <f t="shared" si="1"/>
        <v>0</v>
      </c>
      <c r="J34" s="1077"/>
      <c r="K34" s="1077"/>
      <c r="L34" s="178"/>
    </row>
    <row r="35" spans="1:12" ht="13.5" customHeight="1">
      <c r="A35" s="274"/>
      <c r="B35" s="1077"/>
      <c r="C35" s="1084">
        <v>13</v>
      </c>
      <c r="D35" s="1109" t="s">
        <v>489</v>
      </c>
      <c r="E35" s="1092"/>
      <c r="F35" s="1092"/>
      <c r="G35" s="1092"/>
      <c r="H35" s="1092"/>
      <c r="I35" s="1094">
        <f t="shared" si="1"/>
        <v>0</v>
      </c>
      <c r="J35" s="1077"/>
      <c r="K35" s="1077"/>
      <c r="L35" s="178"/>
    </row>
    <row r="36" spans="1:12" ht="13.5" customHeight="1">
      <c r="A36" s="274"/>
      <c r="B36" s="1077"/>
      <c r="C36" s="1084">
        <v>14</v>
      </c>
      <c r="D36" s="1109" t="str">
        <f>'נספח 2 לטופס 1'!C39</f>
        <v xml:space="preserve">שיקים שחזרו וחובות בהסדר </v>
      </c>
      <c r="E36" s="1092"/>
      <c r="F36" s="1092"/>
      <c r="G36" s="1092">
        <v>465</v>
      </c>
      <c r="H36" s="1092">
        <v>5924</v>
      </c>
      <c r="I36" s="1094">
        <f t="shared" si="1"/>
        <v>6389</v>
      </c>
      <c r="J36" s="1077"/>
      <c r="K36" s="1077"/>
      <c r="L36" s="178"/>
    </row>
    <row r="37" spans="1:12" ht="13.5" customHeight="1">
      <c r="A37" s="274"/>
      <c r="B37" s="1077"/>
      <c r="C37" s="1084">
        <v>15</v>
      </c>
      <c r="D37" s="1109" t="str">
        <f>'נספח 2 לטופס 1'!C40</f>
        <v xml:space="preserve">אחרים </v>
      </c>
      <c r="E37" s="1092"/>
      <c r="F37" s="1092"/>
      <c r="G37" s="1092">
        <v>155</v>
      </c>
      <c r="H37" s="1092">
        <v>7743</v>
      </c>
      <c r="I37" s="1094">
        <f t="shared" si="1"/>
        <v>7898</v>
      </c>
      <c r="J37" s="1077"/>
      <c r="K37" s="1077"/>
      <c r="L37" s="178"/>
    </row>
    <row r="38" spans="1:12" ht="13.5" customHeight="1">
      <c r="A38" s="274"/>
      <c r="B38" s="1077"/>
      <c r="C38" s="1084">
        <v>16</v>
      </c>
      <c r="D38" s="2614" t="str">
        <f>'נספח 2 לטופס 1'!C41</f>
        <v>היטל צריכה עודפת</v>
      </c>
      <c r="E38" s="1092"/>
      <c r="F38" s="1093"/>
      <c r="G38" s="1093"/>
      <c r="H38" s="1093">
        <v>1</v>
      </c>
      <c r="I38" s="1094">
        <f t="shared" si="1"/>
        <v>1</v>
      </c>
      <c r="J38" s="1077"/>
      <c r="K38" s="1077"/>
      <c r="L38" s="178"/>
    </row>
    <row r="39" spans="1:12" ht="13.5" customHeight="1">
      <c r="A39" s="274"/>
      <c r="B39" s="1077"/>
      <c r="C39" s="1084">
        <v>17</v>
      </c>
      <c r="D39" s="2614" t="str">
        <f>'נספח 2 לטופס 1'!C42</f>
        <v>חובות מסופקים וחובות למחיקה</v>
      </c>
      <c r="E39" s="2604"/>
      <c r="F39" s="2605"/>
      <c r="G39" s="2605">
        <v>866</v>
      </c>
      <c r="H39" s="2605">
        <v>-43132</v>
      </c>
      <c r="I39" s="1094">
        <f t="shared" si="1"/>
        <v>-42266</v>
      </c>
      <c r="J39" s="1077"/>
      <c r="K39" s="1077"/>
      <c r="L39" s="178"/>
    </row>
    <row r="40" spans="1:12" ht="13.5" customHeight="1">
      <c r="A40" s="274"/>
      <c r="B40" s="1077"/>
      <c r="C40" s="1084"/>
      <c r="D40" s="1088" t="s">
        <v>844</v>
      </c>
      <c r="E40" s="1112">
        <f>SUM(E23:E39)</f>
        <v>0</v>
      </c>
      <c r="F40" s="1113">
        <f>SUM(F23:F39)</f>
        <v>0</v>
      </c>
      <c r="G40" s="1113">
        <f>SUM(G23:G39)</f>
        <v>5668</v>
      </c>
      <c r="H40" s="1113">
        <f>SUM(H23:H39)</f>
        <v>249558</v>
      </c>
      <c r="I40" s="1114">
        <f t="shared" si="1"/>
        <v>255226</v>
      </c>
      <c r="J40" s="1102"/>
      <c r="K40" s="1077"/>
      <c r="L40" s="178"/>
    </row>
    <row r="41" spans="1:12" ht="4.5" customHeight="1">
      <c r="A41" s="274"/>
      <c r="B41" s="1077"/>
      <c r="C41" s="1084"/>
      <c r="D41" s="1088"/>
      <c r="E41" s="1115"/>
      <c r="F41" s="1115"/>
      <c r="G41" s="1115"/>
      <c r="H41" s="1115"/>
      <c r="I41" s="1116"/>
      <c r="J41" s="1077"/>
      <c r="K41" s="1077"/>
      <c r="L41" s="178"/>
    </row>
    <row r="42" spans="1:12" ht="13.5" customHeight="1" thickBot="1">
      <c r="A42" s="274"/>
      <c r="B42" s="1077"/>
      <c r="C42" s="1084"/>
      <c r="D42" s="1117" t="s">
        <v>782</v>
      </c>
      <c r="E42" s="1118">
        <f>E20+E40</f>
        <v>528610.79</v>
      </c>
      <c r="F42" s="1119">
        <f>F20+F40</f>
        <v>1838</v>
      </c>
      <c r="G42" s="1119">
        <f>G20+G40</f>
        <v>19672</v>
      </c>
      <c r="H42" s="1119">
        <f>H20+H40</f>
        <v>264694</v>
      </c>
      <c r="I42" s="1120">
        <f>I20+I40</f>
        <v>814814.79</v>
      </c>
      <c r="J42" s="1102"/>
      <c r="K42" s="1077"/>
      <c r="L42" s="178"/>
    </row>
    <row r="43" spans="1:12" ht="13.5" customHeight="1" thickTop="1">
      <c r="A43" s="274"/>
      <c r="B43" s="1077"/>
      <c r="C43" s="1084"/>
      <c r="D43" s="1002" t="s">
        <v>350</v>
      </c>
      <c r="E43" s="1117"/>
      <c r="F43" s="1117"/>
      <c r="G43" s="1117"/>
      <c r="H43" s="1117"/>
      <c r="I43" s="1086"/>
      <c r="J43" s="1102"/>
      <c r="K43" s="1077"/>
      <c r="L43" s="178"/>
    </row>
    <row r="44" spans="1:12" ht="6" customHeight="1">
      <c r="A44" s="274"/>
      <c r="B44" s="274"/>
      <c r="C44" s="1121"/>
      <c r="D44" s="1122"/>
      <c r="E44" s="1122"/>
      <c r="F44" s="1122"/>
      <c r="G44" s="1122"/>
      <c r="H44" s="1122"/>
      <c r="I44" s="1123"/>
      <c r="J44" s="1124"/>
      <c r="K44" s="195"/>
      <c r="L44" s="178"/>
    </row>
    <row r="45" spans="1:12" ht="13.8" thickBot="1">
      <c r="A45" s="195"/>
      <c r="B45" s="195"/>
      <c r="C45" s="1125"/>
      <c r="D45" s="1125"/>
      <c r="E45" s="1125"/>
      <c r="F45" s="1125"/>
      <c r="G45" s="1125"/>
      <c r="H45" s="1125"/>
      <c r="I45" s="1125"/>
      <c r="J45" s="1125"/>
      <c r="K45" s="195"/>
      <c r="L45" s="178"/>
    </row>
    <row r="46" spans="1:12" ht="13.8" thickTop="1">
      <c r="A46" s="286"/>
      <c r="B46" s="286"/>
      <c r="C46" s="1126"/>
      <c r="D46" s="1126"/>
      <c r="E46" s="1126"/>
      <c r="F46" s="1126"/>
      <c r="G46" s="1126"/>
      <c r="H46" s="1126"/>
      <c r="I46" s="1126"/>
      <c r="J46" s="1126"/>
      <c r="K46" s="286"/>
    </row>
    <row r="204" spans="3:9" ht="15.6">
      <c r="C204" s="3537" t="str">
        <f>E1</f>
        <v>עירית הרצליה</v>
      </c>
      <c r="D204" s="3537"/>
      <c r="E204" s="3537"/>
      <c r="F204" s="3537"/>
      <c r="G204" s="3537"/>
      <c r="H204" s="3537"/>
      <c r="I204" s="3537"/>
    </row>
    <row r="205" spans="3:9" ht="12.75" customHeight="1">
      <c r="C205" s="3537" t="str">
        <f>E2</f>
        <v>הדוח הכספי לשנת 2015</v>
      </c>
      <c r="D205" s="3537"/>
      <c r="E205" s="3537"/>
      <c r="F205" s="3537"/>
      <c r="G205" s="3537"/>
      <c r="H205" s="3537"/>
      <c r="I205" s="3537"/>
    </row>
    <row r="206" spans="3:9" ht="13.5" customHeight="1">
      <c r="C206" s="3525" t="str">
        <f>E3</f>
        <v>מצב חשבון החייבים בעד ארנונות, הטלים והשתתפויות לפי נתוני אגף הגביה (אלפי ש"ח)</v>
      </c>
      <c r="D206" s="3525"/>
      <c r="E206" s="3525"/>
      <c r="F206" s="3525"/>
      <c r="G206" s="3525"/>
      <c r="H206" s="3525"/>
      <c r="I206" s="3525"/>
    </row>
    <row r="207" spans="3:9" ht="6" customHeight="1"/>
    <row r="208" spans="3:9" ht="0.75" customHeight="1"/>
    <row r="209" spans="3:9" ht="39.75" customHeight="1">
      <c r="C209" s="1128" t="str">
        <f t="shared" ref="C209:I212" si="2">C5</f>
        <v>מס.</v>
      </c>
      <c r="D209" s="1129" t="str">
        <f t="shared" si="2"/>
        <v>שם החשבון</v>
      </c>
      <c r="E209" s="1129" t="str">
        <f t="shared" si="2"/>
        <v>חיוב ראשוני</v>
      </c>
      <c r="F209" s="1129" t="str">
        <f t="shared" si="2"/>
        <v>חיובי ריבית והצמדה על השוטף</v>
      </c>
      <c r="G209" s="1129" t="str">
        <f t="shared" si="2"/>
        <v>חיובי ריבית והצמדה בגין חובות קודמים</v>
      </c>
      <c r="H209" s="1129" t="str">
        <f t="shared" si="2"/>
        <v>חיוב (ביטול) נוסף</v>
      </c>
      <c r="I209" s="1129" t="str">
        <f t="shared" si="2"/>
        <v>חיוב בשנת החשבון</v>
      </c>
    </row>
    <row r="210" spans="3:9" ht="9" customHeight="1">
      <c r="C210" s="1130">
        <f t="shared" si="2"/>
        <v>0</v>
      </c>
      <c r="D210" s="1131">
        <f t="shared" si="2"/>
        <v>0</v>
      </c>
      <c r="E210" s="1132">
        <f t="shared" si="2"/>
        <v>0</v>
      </c>
      <c r="F210" s="1132">
        <f t="shared" si="2"/>
        <v>0</v>
      </c>
      <c r="G210" s="1132">
        <f t="shared" si="2"/>
        <v>0</v>
      </c>
      <c r="H210" s="1132">
        <f t="shared" si="2"/>
        <v>0</v>
      </c>
      <c r="I210" s="1133">
        <f t="shared" si="2"/>
        <v>0</v>
      </c>
    </row>
    <row r="211" spans="3:9">
      <c r="C211" s="1134" t="str">
        <f t="shared" si="2"/>
        <v xml:space="preserve">א. </v>
      </c>
      <c r="D211" s="1135" t="str">
        <f t="shared" si="2"/>
        <v>חשבונות על בסיס חיוב שנתי</v>
      </c>
      <c r="E211" s="1132">
        <f t="shared" si="2"/>
        <v>0</v>
      </c>
      <c r="F211" s="1132">
        <f t="shared" si="2"/>
        <v>0</v>
      </c>
      <c r="G211" s="1132">
        <f t="shared" si="2"/>
        <v>0</v>
      </c>
      <c r="H211" s="1132">
        <f t="shared" si="2"/>
        <v>0</v>
      </c>
      <c r="I211" s="1133">
        <f t="shared" si="2"/>
        <v>0</v>
      </c>
    </row>
    <row r="212" spans="3:9">
      <c r="C212" s="1134">
        <f t="shared" si="2"/>
        <v>1</v>
      </c>
      <c r="D212" s="2612" t="str">
        <f t="shared" si="2"/>
        <v>ארנונה</v>
      </c>
      <c r="E212" s="1136">
        <f t="shared" si="2"/>
        <v>0</v>
      </c>
      <c r="F212" s="1136">
        <f t="shared" si="2"/>
        <v>0</v>
      </c>
      <c r="G212" s="1136">
        <f t="shared" si="2"/>
        <v>0</v>
      </c>
      <c r="H212" s="1136">
        <f t="shared" si="2"/>
        <v>0</v>
      </c>
      <c r="I212" s="1136">
        <f t="shared" si="2"/>
        <v>0</v>
      </c>
    </row>
    <row r="213" spans="3:9">
      <c r="C213" s="1130">
        <f>IF(AND($E9=0,$F9=0,$G9=0,$H9=0,$I9=0),0,$C9)</f>
        <v>1.1000000000000001</v>
      </c>
      <c r="D213" s="1131" t="str">
        <f>IF(AND($E9=0,$F9=0,$G9=0,$H9=0,$I9=0),0,$D9)</f>
        <v>ארנונה למגורים</v>
      </c>
      <c r="E213" s="1136">
        <f t="shared" ref="E213:I214" si="3">E9</f>
        <v>216971.23</v>
      </c>
      <c r="F213" s="1136">
        <f t="shared" si="3"/>
        <v>481</v>
      </c>
      <c r="G213" s="1136">
        <f t="shared" si="3"/>
        <v>1128</v>
      </c>
      <c r="H213" s="1136">
        <f t="shared" si="3"/>
        <v>3654</v>
      </c>
      <c r="I213" s="1136">
        <f t="shared" si="3"/>
        <v>222234.23</v>
      </c>
    </row>
    <row r="214" spans="3:9">
      <c r="C214" s="1130">
        <f>IF(AND($E10=0,$F10=0,$G10=0,$H10=0,$I10=0),0,$C10)</f>
        <v>1.2</v>
      </c>
      <c r="D214" s="1131" t="str">
        <f>IF(AND($E10=0,$F10=0,$G10=0,$H10=0,$I10=0),0,$D10)</f>
        <v>ארנונה אחרת</v>
      </c>
      <c r="E214" s="1136">
        <f t="shared" si="3"/>
        <v>311639.56000000006</v>
      </c>
      <c r="F214" s="1136">
        <f t="shared" si="3"/>
        <v>1357</v>
      </c>
      <c r="G214" s="1136">
        <f t="shared" si="3"/>
        <v>5338</v>
      </c>
      <c r="H214" s="1136">
        <f t="shared" si="3"/>
        <v>4915</v>
      </c>
      <c r="I214" s="1136">
        <f t="shared" si="3"/>
        <v>323249.56000000006</v>
      </c>
    </row>
    <row r="215" spans="3:9">
      <c r="C215" s="1130" t="str">
        <f>IF(AND($E11=0,$F11=0,$G11=0,$H11=0,$I11=0),0,$C11)</f>
        <v>1.3</v>
      </c>
      <c r="D215" s="1131" t="str">
        <f>IF(AND($E11=0,$F11=0,$G11=0,$H11=0,$I11=0),0,$D11)</f>
        <v>חובות מסופקים וחובות למחיקה ארנונה</v>
      </c>
      <c r="E215" s="2889">
        <f t="shared" ref="E215:I216" si="4">E11</f>
        <v>0</v>
      </c>
      <c r="F215" s="2889">
        <f t="shared" si="4"/>
        <v>0</v>
      </c>
      <c r="G215" s="2889">
        <f t="shared" si="4"/>
        <v>6447</v>
      </c>
      <c r="H215" s="2889">
        <f t="shared" si="4"/>
        <v>6087</v>
      </c>
      <c r="I215" s="2889">
        <f t="shared" si="4"/>
        <v>12534</v>
      </c>
    </row>
    <row r="216" spans="3:9">
      <c r="C216" s="1130">
        <f>IF(AND($E12=0,$F12=0,$G12=0,$H12=0,$I12=0),0,$C12)</f>
        <v>0</v>
      </c>
      <c r="D216" s="1131" t="str">
        <f>IF(AND($E12=0,$F12=0,$G12=0,$H12=0,$I12=0),0,$D12)</f>
        <v>סה"כ ארנונה</v>
      </c>
      <c r="E216" s="1140">
        <f t="shared" si="4"/>
        <v>528610.79</v>
      </c>
      <c r="F216" s="1140">
        <f t="shared" si="4"/>
        <v>1838</v>
      </c>
      <c r="G216" s="1140">
        <f t="shared" si="4"/>
        <v>12913</v>
      </c>
      <c r="H216" s="1140">
        <f t="shared" si="4"/>
        <v>14656</v>
      </c>
      <c r="I216" s="1140">
        <f t="shared" si="4"/>
        <v>558017.79</v>
      </c>
    </row>
    <row r="217" spans="3:9">
      <c r="C217" s="1130">
        <f t="shared" ref="C217:I217" si="5">C13</f>
        <v>2</v>
      </c>
      <c r="D217" s="2612" t="str">
        <f t="shared" si="5"/>
        <v>אגרת מים וביוב</v>
      </c>
      <c r="E217" s="2613">
        <f t="shared" si="5"/>
        <v>0</v>
      </c>
      <c r="F217" s="2613">
        <f t="shared" si="5"/>
        <v>0</v>
      </c>
      <c r="G217" s="2613">
        <f t="shared" si="5"/>
        <v>0</v>
      </c>
      <c r="H217" s="2613">
        <f t="shared" si="5"/>
        <v>0</v>
      </c>
      <c r="I217" s="2613">
        <f t="shared" si="5"/>
        <v>0</v>
      </c>
    </row>
    <row r="218" spans="3:9">
      <c r="C218" s="1130">
        <f t="shared" ref="C218:C223" si="6">IF(AND($E14=0,$F14=0,$G14=0,$H14=0,$I14=0),0,$C14)</f>
        <v>2.1</v>
      </c>
      <c r="D218" s="1131" t="str">
        <f>IF(AND($E14=0,$F14=0,$G14=0,$H14=0,$I14=0),0,$D14)</f>
        <v>אגרת מים</v>
      </c>
      <c r="E218" s="2613">
        <f t="shared" ref="E218:I219" si="7">E14</f>
        <v>0</v>
      </c>
      <c r="F218" s="2613">
        <f t="shared" si="7"/>
        <v>0</v>
      </c>
      <c r="G218" s="2613">
        <f t="shared" si="7"/>
        <v>36</v>
      </c>
      <c r="H218" s="2613">
        <f t="shared" si="7"/>
        <v>0</v>
      </c>
      <c r="I218" s="2613">
        <f t="shared" si="7"/>
        <v>36</v>
      </c>
    </row>
    <row r="219" spans="3:9">
      <c r="C219" s="1130">
        <f t="shared" si="6"/>
        <v>2.2000000000000002</v>
      </c>
      <c r="D219" s="1131" t="str">
        <f>IF(AND($E15=0,$F15=0,$G15=0,$H15=0,$I15=0),0,$D15)</f>
        <v>חובות מסופקים וחובות למחיקה מים</v>
      </c>
      <c r="E219" s="2613">
        <f t="shared" si="7"/>
        <v>0</v>
      </c>
      <c r="F219" s="2613">
        <f t="shared" si="7"/>
        <v>0</v>
      </c>
      <c r="G219" s="2613">
        <f t="shared" si="7"/>
        <v>1030</v>
      </c>
      <c r="H219" s="2613">
        <f t="shared" si="7"/>
        <v>669</v>
      </c>
      <c r="I219" s="2613">
        <f t="shared" si="7"/>
        <v>1699</v>
      </c>
    </row>
    <row r="220" spans="3:9">
      <c r="C220" s="1130">
        <f t="shared" si="6"/>
        <v>0</v>
      </c>
      <c r="D220" s="1131" t="str">
        <f>IF(AND($E16=0,$F16=0,$G16=0,$H16=0,$I16=0),0,$D16)</f>
        <v>סה"כ מים</v>
      </c>
      <c r="E220" s="1140">
        <f t="shared" ref="E220:I221" si="8">E16</f>
        <v>0</v>
      </c>
      <c r="F220" s="1140">
        <f t="shared" si="8"/>
        <v>0</v>
      </c>
      <c r="G220" s="1140">
        <f t="shared" si="8"/>
        <v>1066</v>
      </c>
      <c r="H220" s="1140">
        <f t="shared" si="8"/>
        <v>669</v>
      </c>
      <c r="I220" s="1140">
        <f t="shared" si="8"/>
        <v>1735</v>
      </c>
    </row>
    <row r="221" spans="3:9">
      <c r="C221" s="1130" t="str">
        <f t="shared" si="6"/>
        <v>2.3</v>
      </c>
      <c r="D221" s="1131" t="str">
        <f>IF(AND($E17=0,$F17=0,$G17=0,$H17=0,$I17=0),0,$D17)</f>
        <v>אגרת ביוב</v>
      </c>
      <c r="E221" s="2613">
        <f t="shared" si="8"/>
        <v>0</v>
      </c>
      <c r="F221" s="2613">
        <f t="shared" si="8"/>
        <v>0</v>
      </c>
      <c r="G221" s="2613">
        <f t="shared" si="8"/>
        <v>9</v>
      </c>
      <c r="H221" s="2613">
        <f t="shared" si="8"/>
        <v>-19</v>
      </c>
      <c r="I221" s="2613">
        <f t="shared" si="8"/>
        <v>-10</v>
      </c>
    </row>
    <row r="222" spans="3:9">
      <c r="C222" s="1134">
        <f t="shared" si="6"/>
        <v>3</v>
      </c>
      <c r="D222" s="1131" t="str">
        <f>IF(AND($D18&lt;&gt;"(***)",OR($E18&lt;&gt;0,$F18&lt;&gt;0,$G18&lt;&gt;0,$H18&lt;&gt;0,$I18&lt;&gt;0)),$D18,"")</f>
        <v>חובות מסופקים וחובות גביה ביוב</v>
      </c>
      <c r="E222" s="1136">
        <f>E18</f>
        <v>0</v>
      </c>
      <c r="F222" s="1136">
        <f>F18</f>
        <v>0</v>
      </c>
      <c r="G222" s="1136">
        <f>G18</f>
        <v>16</v>
      </c>
      <c r="H222" s="1136">
        <f>H18</f>
        <v>-170</v>
      </c>
      <c r="I222" s="1136">
        <f>I18</f>
        <v>-154</v>
      </c>
    </row>
    <row r="223" spans="3:9">
      <c r="C223" s="1134">
        <f t="shared" si="6"/>
        <v>0</v>
      </c>
      <c r="D223" s="1131" t="str">
        <f>IF(AND($D19&lt;&gt;"(***)",OR($E19&lt;&gt;0,$F19&lt;&gt;0,$G19&lt;&gt;0,$H19&lt;&gt;0,$I19&lt;&gt;0)),$D19,"")</f>
        <v/>
      </c>
      <c r="E223" s="1136">
        <f t="shared" ref="E223:I229" si="9">E19</f>
        <v>0</v>
      </c>
      <c r="F223" s="1136">
        <f t="shared" si="9"/>
        <v>0</v>
      </c>
      <c r="G223" s="1136">
        <f t="shared" si="9"/>
        <v>0</v>
      </c>
      <c r="H223" s="1136">
        <f t="shared" si="9"/>
        <v>0</v>
      </c>
      <c r="I223" s="1136">
        <f t="shared" si="9"/>
        <v>0</v>
      </c>
    </row>
    <row r="224" spans="3:9">
      <c r="C224" s="1130">
        <f>C20</f>
        <v>0</v>
      </c>
      <c r="D224" s="1131" t="str">
        <f>IF(AND($E20=0,$F20=0,$G20=0,$H20=0,$I20=0),0,$D20)</f>
        <v>סה"כ חשבונות על בסיס חיוב שנתי</v>
      </c>
      <c r="E224" s="1137">
        <f t="shared" si="9"/>
        <v>528610.79</v>
      </c>
      <c r="F224" s="1137">
        <f t="shared" si="9"/>
        <v>1838</v>
      </c>
      <c r="G224" s="1137">
        <f t="shared" si="9"/>
        <v>14004</v>
      </c>
      <c r="H224" s="1137">
        <f t="shared" si="9"/>
        <v>15136</v>
      </c>
      <c r="I224" s="1137">
        <f t="shared" si="9"/>
        <v>559588.79</v>
      </c>
    </row>
    <row r="225" spans="3:9">
      <c r="C225" s="1130">
        <f>C21</f>
        <v>0</v>
      </c>
      <c r="D225" s="1131">
        <f>D21</f>
        <v>0</v>
      </c>
      <c r="E225" s="1138">
        <f t="shared" si="9"/>
        <v>0</v>
      </c>
      <c r="F225" s="1138">
        <f t="shared" si="9"/>
        <v>0</v>
      </c>
      <c r="G225" s="1138">
        <f t="shared" si="9"/>
        <v>0</v>
      </c>
      <c r="H225" s="1138">
        <f t="shared" si="9"/>
        <v>0</v>
      </c>
      <c r="I225" s="1139">
        <f t="shared" si="9"/>
        <v>0</v>
      </c>
    </row>
    <row r="226" spans="3:9">
      <c r="C226" s="1134" t="str">
        <f>C22</f>
        <v xml:space="preserve">ב. </v>
      </c>
      <c r="D226" s="1135" t="str">
        <f>D22</f>
        <v>חשבונות על בסיס חיוב חד פעמי</v>
      </c>
      <c r="E226" s="1132">
        <f t="shared" si="9"/>
        <v>0</v>
      </c>
      <c r="F226" s="1132">
        <f t="shared" si="9"/>
        <v>0</v>
      </c>
      <c r="G226" s="1132">
        <f t="shared" si="9"/>
        <v>0</v>
      </c>
      <c r="H226" s="1132">
        <f t="shared" si="9"/>
        <v>0</v>
      </c>
      <c r="I226" s="1133">
        <f t="shared" si="9"/>
        <v>0</v>
      </c>
    </row>
    <row r="227" spans="3:9">
      <c r="C227" s="1130">
        <f t="shared" ref="C227:C243" si="10">IF(AND($E23=0,$F23=0,$G23=0,$H23=0,$I23=0),0,$C23)</f>
        <v>1</v>
      </c>
      <c r="D227" s="1131" t="str">
        <f t="shared" ref="D227:D241" si="11">IF(AND($E23=0,$F23=0,$G23=0,$H23=0,$I23=0),0,$D23)</f>
        <v>חניה וקנסות חניה</v>
      </c>
      <c r="E227" s="1136">
        <f t="shared" si="9"/>
        <v>0</v>
      </c>
      <c r="F227" s="1136">
        <f t="shared" si="9"/>
        <v>0</v>
      </c>
      <c r="G227" s="1136">
        <f t="shared" si="9"/>
        <v>0</v>
      </c>
      <c r="H227" s="1136">
        <f t="shared" si="9"/>
        <v>30742</v>
      </c>
      <c r="I227" s="1136">
        <f t="shared" si="9"/>
        <v>30742</v>
      </c>
    </row>
    <row r="228" spans="3:9">
      <c r="C228" s="1130">
        <f t="shared" si="10"/>
        <v>2</v>
      </c>
      <c r="D228" s="1131" t="str">
        <f t="shared" si="11"/>
        <v>שכר דירה</v>
      </c>
      <c r="E228" s="1136">
        <f t="shared" si="9"/>
        <v>0</v>
      </c>
      <c r="F228" s="1136">
        <f t="shared" si="9"/>
        <v>0</v>
      </c>
      <c r="G228" s="1136">
        <f t="shared" si="9"/>
        <v>1</v>
      </c>
      <c r="H228" s="1136">
        <f t="shared" si="9"/>
        <v>5124</v>
      </c>
      <c r="I228" s="1136">
        <f t="shared" si="9"/>
        <v>5125</v>
      </c>
    </row>
    <row r="229" spans="3:9">
      <c r="C229" s="1130">
        <f t="shared" si="10"/>
        <v>3</v>
      </c>
      <c r="D229" s="1131" t="str">
        <f t="shared" si="11"/>
        <v>קנסות</v>
      </c>
      <c r="E229" s="1136">
        <f t="shared" si="9"/>
        <v>0</v>
      </c>
      <c r="F229" s="1136">
        <f t="shared" si="9"/>
        <v>0</v>
      </c>
      <c r="G229" s="1136">
        <f t="shared" si="9"/>
        <v>0</v>
      </c>
      <c r="H229" s="1136">
        <f t="shared" si="9"/>
        <v>762</v>
      </c>
      <c r="I229" s="1136">
        <f t="shared" si="9"/>
        <v>762</v>
      </c>
    </row>
    <row r="230" spans="3:9">
      <c r="C230" s="1130">
        <f t="shared" si="10"/>
        <v>4</v>
      </c>
      <c r="D230" s="1131" t="str">
        <f t="shared" si="11"/>
        <v>עצמיות חינוך</v>
      </c>
      <c r="E230" s="1136">
        <f t="shared" ref="E230:I239" si="12">E26</f>
        <v>0</v>
      </c>
      <c r="F230" s="1136">
        <f t="shared" si="12"/>
        <v>0</v>
      </c>
      <c r="G230" s="1136">
        <f t="shared" si="12"/>
        <v>8</v>
      </c>
      <c r="H230" s="1136">
        <f t="shared" si="12"/>
        <v>349</v>
      </c>
      <c r="I230" s="1136">
        <f t="shared" si="12"/>
        <v>357</v>
      </c>
    </row>
    <row r="231" spans="3:9">
      <c r="C231" s="1130">
        <f t="shared" si="10"/>
        <v>0</v>
      </c>
      <c r="D231" s="1131">
        <f t="shared" si="11"/>
        <v>0</v>
      </c>
      <c r="E231" s="1136">
        <f t="shared" si="12"/>
        <v>0</v>
      </c>
      <c r="F231" s="1136">
        <f t="shared" si="12"/>
        <v>0</v>
      </c>
      <c r="G231" s="1136">
        <f t="shared" si="12"/>
        <v>0</v>
      </c>
      <c r="H231" s="1136">
        <f t="shared" si="12"/>
        <v>0</v>
      </c>
      <c r="I231" s="1136">
        <f t="shared" si="12"/>
        <v>0</v>
      </c>
    </row>
    <row r="232" spans="3:9">
      <c r="C232" s="1130">
        <f t="shared" si="10"/>
        <v>0</v>
      </c>
      <c r="D232" s="1131">
        <f t="shared" si="11"/>
        <v>0</v>
      </c>
      <c r="E232" s="1136">
        <f t="shared" si="12"/>
        <v>0</v>
      </c>
      <c r="F232" s="1136">
        <f t="shared" si="12"/>
        <v>0</v>
      </c>
      <c r="G232" s="1136">
        <f t="shared" si="12"/>
        <v>0</v>
      </c>
      <c r="H232" s="1136">
        <f t="shared" si="12"/>
        <v>0</v>
      </c>
      <c r="I232" s="1136">
        <f t="shared" si="12"/>
        <v>0</v>
      </c>
    </row>
    <row r="233" spans="3:9">
      <c r="C233" s="1130">
        <f t="shared" si="10"/>
        <v>0</v>
      </c>
      <c r="D233" s="1131">
        <f t="shared" si="11"/>
        <v>0</v>
      </c>
      <c r="E233" s="1136">
        <f t="shared" si="12"/>
        <v>0</v>
      </c>
      <c r="F233" s="1136">
        <f t="shared" si="12"/>
        <v>0</v>
      </c>
      <c r="G233" s="1136">
        <f t="shared" si="12"/>
        <v>0</v>
      </c>
      <c r="H233" s="1136">
        <f t="shared" si="12"/>
        <v>0</v>
      </c>
      <c r="I233" s="1136">
        <f t="shared" si="12"/>
        <v>0</v>
      </c>
    </row>
    <row r="234" spans="3:9">
      <c r="C234" s="1130">
        <f t="shared" si="10"/>
        <v>8</v>
      </c>
      <c r="D234" s="1131" t="str">
        <f t="shared" si="11"/>
        <v>הטלי השבחה</v>
      </c>
      <c r="E234" s="1136">
        <f t="shared" si="12"/>
        <v>0</v>
      </c>
      <c r="F234" s="1136">
        <f t="shared" si="12"/>
        <v>0</v>
      </c>
      <c r="G234" s="1136">
        <f t="shared" si="12"/>
        <v>1032</v>
      </c>
      <c r="H234" s="1136">
        <f t="shared" si="12"/>
        <v>178047</v>
      </c>
      <c r="I234" s="1136">
        <f t="shared" si="12"/>
        <v>179079</v>
      </c>
    </row>
    <row r="235" spans="3:9">
      <c r="C235" s="1130">
        <f t="shared" si="10"/>
        <v>9</v>
      </c>
      <c r="D235" s="1131" t="str">
        <f t="shared" si="11"/>
        <v>הטלי פיתוח</v>
      </c>
      <c r="E235" s="1136">
        <f t="shared" si="12"/>
        <v>0</v>
      </c>
      <c r="F235" s="1136">
        <f t="shared" si="12"/>
        <v>0</v>
      </c>
      <c r="G235" s="1136">
        <f t="shared" si="12"/>
        <v>3105</v>
      </c>
      <c r="H235" s="1136">
        <f t="shared" si="12"/>
        <v>51214</v>
      </c>
      <c r="I235" s="1136">
        <f t="shared" si="12"/>
        <v>54319</v>
      </c>
    </row>
    <row r="236" spans="3:9">
      <c r="C236" s="1130">
        <f t="shared" si="10"/>
        <v>10</v>
      </c>
      <c r="D236" s="1131" t="str">
        <f t="shared" si="11"/>
        <v>אגרות בניה</v>
      </c>
      <c r="E236" s="1136">
        <f t="shared" si="12"/>
        <v>0</v>
      </c>
      <c r="F236" s="1136">
        <f t="shared" si="12"/>
        <v>0</v>
      </c>
      <c r="G236" s="1136">
        <f t="shared" si="12"/>
        <v>33</v>
      </c>
      <c r="H236" s="1136">
        <f t="shared" si="12"/>
        <v>12708</v>
      </c>
      <c r="I236" s="1136">
        <f t="shared" si="12"/>
        <v>12741</v>
      </c>
    </row>
    <row r="237" spans="3:9">
      <c r="C237" s="1130">
        <f t="shared" si="10"/>
        <v>11</v>
      </c>
      <c r="D237" s="1131" t="str">
        <f t="shared" si="11"/>
        <v>הטל ביוב</v>
      </c>
      <c r="E237" s="1136">
        <f t="shared" si="12"/>
        <v>0</v>
      </c>
      <c r="F237" s="1136">
        <f t="shared" si="12"/>
        <v>0</v>
      </c>
      <c r="G237" s="1136">
        <f t="shared" si="12"/>
        <v>3</v>
      </c>
      <c r="H237" s="1136">
        <f t="shared" si="12"/>
        <v>76</v>
      </c>
      <c r="I237" s="1136">
        <f t="shared" si="12"/>
        <v>79</v>
      </c>
    </row>
    <row r="238" spans="3:9">
      <c r="C238" s="1130">
        <f t="shared" si="10"/>
        <v>0</v>
      </c>
      <c r="D238" s="1131">
        <f t="shared" si="11"/>
        <v>0</v>
      </c>
      <c r="E238" s="1136">
        <f t="shared" si="12"/>
        <v>0</v>
      </c>
      <c r="F238" s="1136">
        <f t="shared" si="12"/>
        <v>0</v>
      </c>
      <c r="G238" s="1136">
        <f t="shared" si="12"/>
        <v>0</v>
      </c>
      <c r="H238" s="1136">
        <f t="shared" si="12"/>
        <v>0</v>
      </c>
      <c r="I238" s="1136">
        <f t="shared" si="12"/>
        <v>0</v>
      </c>
    </row>
    <row r="239" spans="3:9">
      <c r="C239" s="1130">
        <f t="shared" si="10"/>
        <v>0</v>
      </c>
      <c r="D239" s="1131">
        <f t="shared" si="11"/>
        <v>0</v>
      </c>
      <c r="E239" s="1136">
        <f t="shared" si="12"/>
        <v>0</v>
      </c>
      <c r="F239" s="1136">
        <f t="shared" si="12"/>
        <v>0</v>
      </c>
      <c r="G239" s="1136">
        <f t="shared" si="12"/>
        <v>0</v>
      </c>
      <c r="H239" s="1136">
        <f t="shared" si="12"/>
        <v>0</v>
      </c>
      <c r="I239" s="1136">
        <f t="shared" si="12"/>
        <v>0</v>
      </c>
    </row>
    <row r="240" spans="3:9">
      <c r="C240" s="1130">
        <f t="shared" si="10"/>
        <v>14</v>
      </c>
      <c r="D240" s="1131" t="str">
        <f t="shared" si="11"/>
        <v xml:space="preserve">שיקים שחזרו וחובות בהסדר </v>
      </c>
      <c r="E240" s="1136">
        <f t="shared" ref="E240:I243" si="13">E36</f>
        <v>0</v>
      </c>
      <c r="F240" s="1136">
        <f t="shared" si="13"/>
        <v>0</v>
      </c>
      <c r="G240" s="1136">
        <f t="shared" si="13"/>
        <v>465</v>
      </c>
      <c r="H240" s="1136">
        <f t="shared" si="13"/>
        <v>5924</v>
      </c>
      <c r="I240" s="1136">
        <f t="shared" si="13"/>
        <v>6389</v>
      </c>
    </row>
    <row r="241" spans="3:9">
      <c r="C241" s="1130">
        <f t="shared" si="10"/>
        <v>15</v>
      </c>
      <c r="D241" s="1131" t="str">
        <f t="shared" si="11"/>
        <v xml:space="preserve">אחרים </v>
      </c>
      <c r="E241" s="1136">
        <f t="shared" si="13"/>
        <v>0</v>
      </c>
      <c r="F241" s="1136">
        <f t="shared" si="13"/>
        <v>0</v>
      </c>
      <c r="G241" s="1136">
        <f t="shared" si="13"/>
        <v>155</v>
      </c>
      <c r="H241" s="1136">
        <f t="shared" si="13"/>
        <v>7743</v>
      </c>
      <c r="I241" s="1136">
        <f t="shared" si="13"/>
        <v>7898</v>
      </c>
    </row>
    <row r="242" spans="3:9">
      <c r="C242" s="1130">
        <f t="shared" si="10"/>
        <v>16</v>
      </c>
      <c r="D242" s="1131" t="str">
        <f>IF(AND($D38&lt;&gt;"(***)",OR($E38&lt;&gt;0,$F38&lt;&gt;0,$G38&lt;&gt;0,$H38&lt;&gt;0,$I38&lt;&gt;0)),$D38,"")</f>
        <v>היטל צריכה עודפת</v>
      </c>
      <c r="E242" s="1136">
        <f t="shared" si="13"/>
        <v>0</v>
      </c>
      <c r="F242" s="1136">
        <f t="shared" si="13"/>
        <v>0</v>
      </c>
      <c r="G242" s="1136">
        <f t="shared" si="13"/>
        <v>0</v>
      </c>
      <c r="H242" s="1136">
        <f t="shared" si="13"/>
        <v>1</v>
      </c>
      <c r="I242" s="1136">
        <f t="shared" si="13"/>
        <v>1</v>
      </c>
    </row>
    <row r="243" spans="3:9">
      <c r="C243" s="1130">
        <f t="shared" si="10"/>
        <v>17</v>
      </c>
      <c r="D243" s="1131" t="str">
        <f>IF(AND($D39&lt;&gt;"(***)",OR($E39&lt;&gt;0,$F39&lt;&gt;0,$G39&lt;&gt;0,$H39&lt;&gt;0,$I39&lt;&gt;0)),$D39,"")</f>
        <v>חובות מסופקים וחובות למחיקה</v>
      </c>
      <c r="E243" s="1136">
        <f t="shared" si="13"/>
        <v>0</v>
      </c>
      <c r="F243" s="1136">
        <f t="shared" si="13"/>
        <v>0</v>
      </c>
      <c r="G243" s="1136">
        <f t="shared" si="13"/>
        <v>866</v>
      </c>
      <c r="H243" s="1136">
        <f t="shared" si="13"/>
        <v>-43132</v>
      </c>
      <c r="I243" s="1136">
        <f t="shared" si="13"/>
        <v>-42266</v>
      </c>
    </row>
    <row r="244" spans="3:9">
      <c r="C244" s="1130">
        <f>C40</f>
        <v>0</v>
      </c>
      <c r="D244" s="1131" t="str">
        <f>IF(AND($E40=0,$F40=0,$G40=0,$H40=0,$I40=0),0,$D40)</f>
        <v>סה"כ חשבונות על בסיס חיוב חד-פעמי</v>
      </c>
      <c r="E244" s="1140">
        <f t="shared" ref="E244:I246" si="14">E40</f>
        <v>0</v>
      </c>
      <c r="F244" s="1140">
        <f t="shared" si="14"/>
        <v>0</v>
      </c>
      <c r="G244" s="1140">
        <f t="shared" si="14"/>
        <v>5668</v>
      </c>
      <c r="H244" s="1140">
        <f t="shared" si="14"/>
        <v>249558</v>
      </c>
      <c r="I244" s="1140">
        <f t="shared" si="14"/>
        <v>255226</v>
      </c>
    </row>
    <row r="245" spans="3:9">
      <c r="C245" s="1130">
        <f>C41</f>
        <v>0</v>
      </c>
      <c r="D245" s="1131">
        <f>D41</f>
        <v>0</v>
      </c>
      <c r="E245" s="1141">
        <f t="shared" si="14"/>
        <v>0</v>
      </c>
      <c r="F245" s="1141">
        <f t="shared" si="14"/>
        <v>0</v>
      </c>
      <c r="G245" s="1141">
        <f t="shared" si="14"/>
        <v>0</v>
      </c>
      <c r="H245" s="1141">
        <f t="shared" si="14"/>
        <v>0</v>
      </c>
      <c r="I245" s="1142">
        <f t="shared" si="14"/>
        <v>0</v>
      </c>
    </row>
    <row r="246" spans="3:9" ht="13.8" thickBot="1">
      <c r="C246" s="1130">
        <f>C42</f>
        <v>0</v>
      </c>
      <c r="D246" s="1131" t="str">
        <f>IF(AND($E42=0,$F42=0,$G42=0,$H42=0,$I42=0),0,$D42)</f>
        <v>סה"כ</v>
      </c>
      <c r="E246" s="1143">
        <f t="shared" si="14"/>
        <v>528610.79</v>
      </c>
      <c r="F246" s="1143">
        <f t="shared" si="14"/>
        <v>1838</v>
      </c>
      <c r="G246" s="1143">
        <f t="shared" si="14"/>
        <v>19672</v>
      </c>
      <c r="H246" s="1143">
        <f t="shared" si="14"/>
        <v>264694</v>
      </c>
      <c r="I246" s="1143">
        <f t="shared" si="14"/>
        <v>814814.79</v>
      </c>
    </row>
    <row r="247" spans="3:9" ht="13.8" thickTop="1">
      <c r="C247" s="1144"/>
      <c r="D247" s="1145">
        <f>IF(D43&lt;&gt;"(***)",D43,0)</f>
        <v>0</v>
      </c>
      <c r="E247" s="1146"/>
      <c r="F247" s="1146"/>
      <c r="G247" s="1146"/>
      <c r="H247" s="1146"/>
      <c r="I247" s="1147"/>
    </row>
  </sheetData>
  <sheetProtection password="83C1" sheet="1" objects="1" scenarios="1"/>
  <mergeCells count="6">
    <mergeCell ref="C206:I206"/>
    <mergeCell ref="E2:K2"/>
    <mergeCell ref="E1:K1"/>
    <mergeCell ref="E3:K3"/>
    <mergeCell ref="C204:I204"/>
    <mergeCell ref="C205:I205"/>
  </mergeCells>
  <phoneticPr fontId="4" type="noConversion"/>
  <conditionalFormatting sqref="E13:H13">
    <cfRule type="expression" dxfId="24" priority="1" stopIfTrue="1">
      <formula>OR(E$16&lt;&gt;0,E$17&lt;&gt;0)</formula>
    </cfRule>
  </conditionalFormatting>
  <conditionalFormatting sqref="E17:H17 E14:H15">
    <cfRule type="expression" dxfId="23" priority="2" stopIfTrue="1">
      <formula>E$13&lt;&gt;0</formula>
    </cfRule>
  </conditionalFormatting>
  <conditionalFormatting sqref="I13">
    <cfRule type="expression" dxfId="22" priority="3" stopIfTrue="1">
      <formula>AND(OR(I$16&lt;&gt;0,I$17&lt;&gt;0),I13=0)</formula>
    </cfRule>
  </conditionalFormatting>
  <conditionalFormatting sqref="I17 I14:I15">
    <cfRule type="expression" dxfId="21" priority="4" stopIfTrue="1">
      <formula>AND(I$13&lt;&gt;0,I14=0)</formula>
    </cfRule>
  </conditionalFormatting>
  <dataValidations count="2">
    <dataValidation allowBlank="1" showInputMessage="1" showErrorMessage="1" promptTitle="אגרת מים וביוב:" prompt="למילוי כאשר לא קיים פירוט בין אגרת מים וביוב" sqref="E13:H13"/>
    <dataValidation allowBlank="1" showErrorMessage="1" sqref="E14:H15"/>
  </dataValidations>
  <hyperlinks>
    <hyperlink ref="A4" location="'תוכן הענינים'!A1" tooltip="לחץ להצגת גליון תוכן הענינים" display="הצג תוכן ענינים"/>
  </hyperlinks>
  <printOptions horizontalCentered="1"/>
  <pageMargins left="0.2" right="0" top="0.46" bottom="0" header="0.25" footer="0"/>
  <pageSetup paperSize="9" scale="95" orientation="landscape" blackAndWhite="1" horizontalDpi="300" verticalDpi="300" r:id="rId1"/>
  <headerFooter alignWithMargins="0">
    <oddHeader>&amp;L&amp;8&amp;A</oddHeader>
    <oddFooter>&amp;C&amp;8&amp;P</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0">
    <pageSetUpPr autoPageBreaks="0"/>
  </sheetPr>
  <dimension ref="A1:O248"/>
  <sheetViews>
    <sheetView showGridLines="0" showRowColHeaders="0" showZeros="0" rightToLeft="1" showOutlineSymbols="0" zoomScale="80" zoomScaleNormal="90" zoomScaleSheetLayoutView="75" workbookViewId="0">
      <selection activeCell="A4" sqref="A4"/>
    </sheetView>
  </sheetViews>
  <sheetFormatPr defaultColWidth="9.109375" defaultRowHeight="13.2"/>
  <cols>
    <col min="1" max="1" width="13" style="1152" bestFit="1" customWidth="1"/>
    <col min="2" max="2" width="7.109375" style="1152" customWidth="1"/>
    <col min="3" max="3" width="5.44140625" style="1152" customWidth="1"/>
    <col min="4" max="4" width="32.33203125" style="1152" customWidth="1"/>
    <col min="5" max="7" width="12.33203125" style="1152" customWidth="1"/>
    <col min="8" max="8" width="12.44140625" style="1152" customWidth="1"/>
    <col min="9" max="11" width="12.33203125" style="1152" customWidth="1"/>
    <col min="12" max="16384" width="9.109375" style="1152"/>
  </cols>
  <sheetData>
    <row r="1" spans="1:15" ht="15.75" customHeight="1">
      <c r="A1" s="1148"/>
      <c r="B1" s="1148"/>
      <c r="C1" s="1076"/>
      <c r="D1" s="1076"/>
      <c r="E1" s="3533" t="str">
        <f>'הגדרות כלליות'!D6</f>
        <v>עירית הרצליה</v>
      </c>
      <c r="F1" s="3533"/>
      <c r="G1" s="3533"/>
      <c r="H1" s="3533"/>
      <c r="I1" s="3533"/>
      <c r="J1" s="3533"/>
      <c r="K1" s="3533"/>
      <c r="L1" s="1149"/>
      <c r="M1" s="1149"/>
      <c r="N1" s="1150"/>
      <c r="O1" s="1151"/>
    </row>
    <row r="2" spans="1:15" ht="15.75" customHeight="1">
      <c r="A2" s="1148"/>
      <c r="B2" s="1148"/>
      <c r="C2" s="1076"/>
      <c r="D2" s="1076"/>
      <c r="E2" s="3533" t="str">
        <f>CONCATENATE("הדוח הכספי לשנת ",'הגדרות כלליות'!D10)</f>
        <v>הדוח הכספי לשנת 2015</v>
      </c>
      <c r="F2" s="3533"/>
      <c r="G2" s="3533"/>
      <c r="H2" s="3533"/>
      <c r="I2" s="3533"/>
      <c r="J2" s="3533"/>
      <c r="K2" s="3533"/>
      <c r="L2" s="1149"/>
      <c r="M2" s="1153"/>
      <c r="N2" s="1150"/>
      <c r="O2" s="1151"/>
    </row>
    <row r="3" spans="1:15" ht="15.75" customHeight="1">
      <c r="A3" s="1148"/>
      <c r="B3" s="1148"/>
      <c r="C3" s="1148"/>
      <c r="D3" s="1148"/>
      <c r="E3" s="3394" t="s">
        <v>814</v>
      </c>
      <c r="F3" s="3394"/>
      <c r="G3" s="3394"/>
      <c r="H3" s="3394"/>
      <c r="I3" s="3394"/>
      <c r="J3" s="3394"/>
      <c r="K3" s="3394"/>
      <c r="L3" s="1154"/>
      <c r="M3" s="1154"/>
      <c r="N3" s="1155"/>
    </row>
    <row r="4" spans="1:15" ht="14.25" customHeight="1">
      <c r="A4" s="7" t="s">
        <v>339</v>
      </c>
      <c r="B4" s="1156"/>
      <c r="C4" s="1157"/>
      <c r="D4" s="977"/>
      <c r="E4" s="977"/>
      <c r="F4" s="977"/>
      <c r="G4" s="977"/>
      <c r="H4" s="977"/>
      <c r="I4" s="977"/>
      <c r="J4" s="977"/>
      <c r="K4" s="977"/>
      <c r="L4" s="1158"/>
      <c r="M4" s="1159"/>
      <c r="N4" s="1155"/>
    </row>
    <row r="5" spans="1:15" ht="36.75" customHeight="1">
      <c r="A5" s="1077"/>
      <c r="B5" s="1160"/>
      <c r="C5" s="1079" t="s">
        <v>849</v>
      </c>
      <c r="D5" s="1080" t="s">
        <v>850</v>
      </c>
      <c r="E5" s="1080" t="s">
        <v>1284</v>
      </c>
      <c r="F5" s="1080" t="s">
        <v>1285</v>
      </c>
      <c r="G5" s="1080" t="s">
        <v>856</v>
      </c>
      <c r="H5" s="1080" t="s">
        <v>857</v>
      </c>
      <c r="I5" s="1080" t="s">
        <v>858</v>
      </c>
      <c r="J5" s="1080" t="s">
        <v>860</v>
      </c>
      <c r="K5" s="1081" t="s">
        <v>861</v>
      </c>
      <c r="L5" s="1161"/>
      <c r="M5" s="1162"/>
      <c r="N5" s="1155"/>
    </row>
    <row r="6" spans="1:15" ht="6" customHeight="1">
      <c r="A6" s="1077"/>
      <c r="B6" s="1077"/>
      <c r="C6" s="1084"/>
      <c r="D6" s="1085"/>
      <c r="E6" s="1085"/>
      <c r="F6" s="1085"/>
      <c r="G6" s="1085"/>
      <c r="H6" s="1085"/>
      <c r="I6" s="1085"/>
      <c r="J6" s="1085"/>
      <c r="K6" s="1086"/>
      <c r="L6" s="1077"/>
      <c r="M6" s="1077"/>
      <c r="N6" s="1155"/>
    </row>
    <row r="7" spans="1:15" ht="11.25" customHeight="1">
      <c r="A7" s="1077"/>
      <c r="B7" s="1077"/>
      <c r="C7" s="1016" t="s">
        <v>826</v>
      </c>
      <c r="D7" s="1087" t="s">
        <v>827</v>
      </c>
      <c r="E7" s="1085"/>
      <c r="F7" s="1085"/>
      <c r="G7" s="1085"/>
      <c r="H7" s="1085"/>
      <c r="I7" s="1085"/>
      <c r="J7" s="1085"/>
      <c r="K7" s="1086"/>
      <c r="L7" s="1077"/>
      <c r="M7" s="1077"/>
      <c r="N7" s="1155"/>
    </row>
    <row r="8" spans="1:15">
      <c r="A8" s="1077"/>
      <c r="B8" s="1077"/>
      <c r="C8" s="1016">
        <v>1</v>
      </c>
      <c r="D8" s="1087" t="s">
        <v>1435</v>
      </c>
      <c r="E8" s="1085"/>
      <c r="F8" s="1085"/>
      <c r="G8" s="1085"/>
      <c r="H8" s="1085"/>
      <c r="I8" s="1085"/>
      <c r="J8" s="1085"/>
      <c r="K8" s="1086"/>
      <c r="L8" s="1077"/>
      <c r="M8" s="1077"/>
      <c r="N8" s="1155"/>
    </row>
    <row r="9" spans="1:15">
      <c r="A9" s="1077"/>
      <c r="B9" s="1077"/>
      <c r="C9" s="2608" t="s">
        <v>34</v>
      </c>
      <c r="D9" s="1088" t="s">
        <v>32</v>
      </c>
      <c r="E9" s="1089">
        <v>239</v>
      </c>
      <c r="F9" s="1090"/>
      <c r="G9" s="1090"/>
      <c r="H9" s="1090">
        <v>30999</v>
      </c>
      <c r="I9" s="1090">
        <v>396</v>
      </c>
      <c r="J9" s="1090">
        <v>1435</v>
      </c>
      <c r="K9" s="1091">
        <f>SUM(E9:J9)</f>
        <v>33069</v>
      </c>
      <c r="L9" s="1077"/>
      <c r="M9" s="1077"/>
      <c r="N9" s="1155"/>
    </row>
    <row r="10" spans="1:15">
      <c r="A10" s="1077"/>
      <c r="B10" s="1077"/>
      <c r="C10" s="2608" t="s">
        <v>35</v>
      </c>
      <c r="D10" s="1088" t="s">
        <v>30</v>
      </c>
      <c r="E10" s="1092">
        <v>2280</v>
      </c>
      <c r="F10" s="1093"/>
      <c r="G10" s="1093"/>
      <c r="H10" s="1093">
        <v>11846</v>
      </c>
      <c r="I10" s="1093"/>
      <c r="J10" s="1093"/>
      <c r="K10" s="1094">
        <f>SUM(E10:J10)</f>
        <v>14126</v>
      </c>
      <c r="L10" s="1077"/>
      <c r="M10" s="1077"/>
      <c r="N10" s="1155"/>
    </row>
    <row r="11" spans="1:15">
      <c r="A11" s="1077"/>
      <c r="B11" s="1077"/>
      <c r="C11" s="2608" t="s">
        <v>40</v>
      </c>
      <c r="D11" s="1088" t="s">
        <v>36</v>
      </c>
      <c r="E11" s="2602"/>
      <c r="F11" s="2602"/>
      <c r="G11" s="2602">
        <v>24256</v>
      </c>
      <c r="H11" s="2602"/>
      <c r="I11" s="2602"/>
      <c r="J11" s="2602"/>
      <c r="K11" s="2879">
        <f t="shared" ref="K11:K20" si="0">SUM(E11:J11)</f>
        <v>24256</v>
      </c>
      <c r="L11" s="1077"/>
      <c r="M11" s="1077"/>
      <c r="N11" s="1155"/>
    </row>
    <row r="12" spans="1:15">
      <c r="A12" s="1077"/>
      <c r="B12" s="1077"/>
      <c r="C12" s="2608"/>
      <c r="D12" s="1088" t="s">
        <v>31</v>
      </c>
      <c r="E12" s="1112">
        <f t="shared" ref="E12:J12" si="1">SUM(E9:E11)</f>
        <v>2519</v>
      </c>
      <c r="F12" s="1112">
        <f t="shared" si="1"/>
        <v>0</v>
      </c>
      <c r="G12" s="1112">
        <f t="shared" si="1"/>
        <v>24256</v>
      </c>
      <c r="H12" s="1112">
        <f t="shared" si="1"/>
        <v>42845</v>
      </c>
      <c r="I12" s="1112">
        <f t="shared" si="1"/>
        <v>396</v>
      </c>
      <c r="J12" s="1112">
        <f t="shared" si="1"/>
        <v>1435</v>
      </c>
      <c r="K12" s="1114">
        <f>SUM(E12:J12)</f>
        <v>71451</v>
      </c>
      <c r="L12" s="1077"/>
      <c r="M12" s="1077"/>
      <c r="N12" s="1155"/>
    </row>
    <row r="13" spans="1:15">
      <c r="A13" s="1077"/>
      <c r="B13" s="1077"/>
      <c r="C13" s="1016">
        <v>2</v>
      </c>
      <c r="D13" s="2607" t="s">
        <v>33</v>
      </c>
      <c r="E13" s="2610"/>
      <c r="F13" s="2610"/>
      <c r="G13" s="2610"/>
      <c r="H13" s="2610"/>
      <c r="I13" s="2610"/>
      <c r="J13" s="2610"/>
      <c r="K13" s="2882">
        <f t="shared" si="0"/>
        <v>0</v>
      </c>
      <c r="L13" s="1077"/>
      <c r="M13" s="1077"/>
      <c r="N13" s="1155"/>
    </row>
    <row r="14" spans="1:15">
      <c r="A14" s="1077"/>
      <c r="B14" s="1077"/>
      <c r="C14" s="2111">
        <v>2.1</v>
      </c>
      <c r="D14" s="2881" t="s">
        <v>37</v>
      </c>
      <c r="E14" s="2877"/>
      <c r="F14" s="2877"/>
      <c r="G14" s="2877"/>
      <c r="H14" s="2877"/>
      <c r="I14" s="2877"/>
      <c r="J14" s="2877"/>
      <c r="K14" s="2883">
        <f t="shared" si="0"/>
        <v>0</v>
      </c>
      <c r="L14" s="1077"/>
      <c r="M14" s="1077"/>
      <c r="N14" s="1155"/>
    </row>
    <row r="15" spans="1:15">
      <c r="A15" s="1077"/>
      <c r="B15" s="1077"/>
      <c r="C15" s="2111">
        <v>2.2000000000000002</v>
      </c>
      <c r="D15" s="2881" t="s">
        <v>38</v>
      </c>
      <c r="E15" s="2877"/>
      <c r="F15" s="2877"/>
      <c r="G15" s="2877">
        <f>1184+49</f>
        <v>1233</v>
      </c>
      <c r="H15" s="2877"/>
      <c r="I15" s="2877"/>
      <c r="J15" s="2877"/>
      <c r="K15" s="2883">
        <f t="shared" si="0"/>
        <v>1233</v>
      </c>
      <c r="L15" s="1077"/>
      <c r="M15" s="1077"/>
      <c r="N15" s="1155"/>
    </row>
    <row r="16" spans="1:15">
      <c r="A16" s="1077"/>
      <c r="B16" s="1077"/>
      <c r="C16" s="2608"/>
      <c r="D16" s="1088" t="s">
        <v>39</v>
      </c>
      <c r="E16" s="2884">
        <f t="shared" ref="E16:J16" si="2">SUM(E14:E15)</f>
        <v>0</v>
      </c>
      <c r="F16" s="2884">
        <f t="shared" si="2"/>
        <v>0</v>
      </c>
      <c r="G16" s="2884">
        <f t="shared" si="2"/>
        <v>1233</v>
      </c>
      <c r="H16" s="2884">
        <f t="shared" si="2"/>
        <v>0</v>
      </c>
      <c r="I16" s="2884">
        <f t="shared" si="2"/>
        <v>0</v>
      </c>
      <c r="J16" s="2884">
        <f t="shared" si="2"/>
        <v>0</v>
      </c>
      <c r="K16" s="2885">
        <f>SUM(E16:J16)</f>
        <v>1233</v>
      </c>
      <c r="L16" s="1077"/>
      <c r="M16" s="1077"/>
      <c r="N16" s="1155"/>
    </row>
    <row r="17" spans="1:14">
      <c r="A17" s="1077"/>
      <c r="B17" s="1077"/>
      <c r="C17" s="2608" t="s">
        <v>41</v>
      </c>
      <c r="D17" s="1088" t="s">
        <v>828</v>
      </c>
      <c r="E17" s="2877"/>
      <c r="F17" s="2877"/>
      <c r="G17" s="2877"/>
      <c r="H17" s="2877"/>
      <c r="I17" s="2877"/>
      <c r="J17" s="2877"/>
      <c r="K17" s="2883">
        <f t="shared" si="0"/>
        <v>0</v>
      </c>
      <c r="L17" s="1077"/>
      <c r="M17" s="1077"/>
      <c r="N17" s="1155"/>
    </row>
    <row r="18" spans="1:14">
      <c r="A18" s="1077"/>
      <c r="B18" s="1077"/>
      <c r="C18" s="2888">
        <v>3</v>
      </c>
      <c r="D18" s="1088" t="str">
        <f>'נספח 2 לטופס 1'!C21</f>
        <v>חובות מסופקים וחובות גביה ביוב</v>
      </c>
      <c r="E18" s="1095"/>
      <c r="F18" s="1096"/>
      <c r="G18" s="1096"/>
      <c r="H18" s="1096"/>
      <c r="I18" s="1096"/>
      <c r="J18" s="1096"/>
      <c r="K18" s="1097">
        <f t="shared" si="0"/>
        <v>0</v>
      </c>
      <c r="L18" s="1077"/>
      <c r="M18" s="1077"/>
      <c r="N18" s="1155"/>
    </row>
    <row r="19" spans="1:14">
      <c r="A19" s="1077"/>
      <c r="B19" s="1077"/>
      <c r="C19" s="2888">
        <v>4</v>
      </c>
      <c r="D19" s="2603" t="s">
        <v>42</v>
      </c>
      <c r="E19" s="1095"/>
      <c r="F19" s="1096"/>
      <c r="G19" s="1096"/>
      <c r="H19" s="1096"/>
      <c r="I19" s="1096"/>
      <c r="J19" s="1096"/>
      <c r="K19" s="1097">
        <f t="shared" si="0"/>
        <v>0</v>
      </c>
      <c r="L19" s="1077"/>
      <c r="M19" s="1077"/>
      <c r="N19" s="1155"/>
    </row>
    <row r="20" spans="1:14">
      <c r="A20" s="1077"/>
      <c r="B20" s="1077"/>
      <c r="C20" s="1084"/>
      <c r="D20" s="1088" t="s">
        <v>854</v>
      </c>
      <c r="E20" s="1112">
        <f t="shared" ref="E20:J20" si="3">E12+E13+E16+E17+E18+E19</f>
        <v>2519</v>
      </c>
      <c r="F20" s="1112">
        <f t="shared" si="3"/>
        <v>0</v>
      </c>
      <c r="G20" s="1112">
        <f t="shared" si="3"/>
        <v>25489</v>
      </c>
      <c r="H20" s="1112">
        <f t="shared" si="3"/>
        <v>42845</v>
      </c>
      <c r="I20" s="1112">
        <f t="shared" si="3"/>
        <v>396</v>
      </c>
      <c r="J20" s="1112">
        <f t="shared" si="3"/>
        <v>1435</v>
      </c>
      <c r="K20" s="1114">
        <f t="shared" si="0"/>
        <v>72684</v>
      </c>
      <c r="L20" s="1077"/>
      <c r="M20" s="1077"/>
      <c r="N20" s="1155"/>
    </row>
    <row r="21" spans="1:14" ht="4.5" customHeight="1">
      <c r="A21" s="1077"/>
      <c r="B21" s="1077"/>
      <c r="C21" s="1084"/>
      <c r="D21" s="1088"/>
      <c r="E21" s="1163"/>
      <c r="F21" s="1163"/>
      <c r="G21" s="1163"/>
      <c r="H21" s="1163"/>
      <c r="I21" s="1163"/>
      <c r="J21" s="1163"/>
      <c r="K21" s="1164"/>
      <c r="L21" s="1077"/>
      <c r="M21" s="1077"/>
      <c r="N21" s="1155"/>
    </row>
    <row r="22" spans="1:14" ht="12.75" customHeight="1">
      <c r="A22" s="1077"/>
      <c r="B22" s="1077"/>
      <c r="C22" s="1016" t="s">
        <v>830</v>
      </c>
      <c r="D22" s="1087" t="s">
        <v>831</v>
      </c>
      <c r="E22" s="1165"/>
      <c r="F22" s="1165"/>
      <c r="G22" s="1165"/>
      <c r="H22" s="1165"/>
      <c r="I22" s="1165"/>
      <c r="J22" s="1165"/>
      <c r="K22" s="1166"/>
      <c r="L22" s="1077"/>
      <c r="M22" s="1077"/>
      <c r="N22" s="1155"/>
    </row>
    <row r="23" spans="1:14">
      <c r="A23" s="1077"/>
      <c r="B23" s="1077"/>
      <c r="C23" s="1084">
        <v>1</v>
      </c>
      <c r="D23" s="1109" t="s">
        <v>832</v>
      </c>
      <c r="E23" s="1089"/>
      <c r="F23" s="1090"/>
      <c r="G23" s="1090"/>
      <c r="H23" s="1090"/>
      <c r="I23" s="1090"/>
      <c r="J23" s="1090"/>
      <c r="K23" s="1091">
        <f t="shared" ref="K23:K40" si="4">SUM(E23:J23)</f>
        <v>0</v>
      </c>
      <c r="L23" s="1077"/>
      <c r="M23" s="1077"/>
      <c r="N23" s="1155"/>
    </row>
    <row r="24" spans="1:14" ht="12.75" customHeight="1">
      <c r="A24" s="1077"/>
      <c r="B24" s="1077"/>
      <c r="C24" s="1084">
        <v>2</v>
      </c>
      <c r="D24" s="1109" t="s">
        <v>833</v>
      </c>
      <c r="E24" s="1092"/>
      <c r="F24" s="1093"/>
      <c r="G24" s="1093"/>
      <c r="H24" s="1093"/>
      <c r="I24" s="1093"/>
      <c r="J24" s="1093"/>
      <c r="K24" s="1094">
        <f t="shared" si="4"/>
        <v>0</v>
      </c>
      <c r="L24" s="1077"/>
      <c r="M24" s="1077"/>
      <c r="N24" s="1167" t="s">
        <v>360</v>
      </c>
    </row>
    <row r="25" spans="1:14">
      <c r="A25" s="1077"/>
      <c r="B25" s="1077"/>
      <c r="C25" s="1084">
        <v>3</v>
      </c>
      <c r="D25" s="1109" t="s">
        <v>834</v>
      </c>
      <c r="E25" s="1092"/>
      <c r="F25" s="1093"/>
      <c r="G25" s="1093"/>
      <c r="H25" s="1093"/>
      <c r="I25" s="1093"/>
      <c r="J25" s="1093"/>
      <c r="K25" s="1094">
        <f t="shared" si="4"/>
        <v>0</v>
      </c>
      <c r="L25" s="1077"/>
      <c r="M25" s="1077"/>
      <c r="N25" s="1155"/>
    </row>
    <row r="26" spans="1:14">
      <c r="A26" s="1077"/>
      <c r="B26" s="1077"/>
      <c r="C26" s="1084">
        <v>4</v>
      </c>
      <c r="D26" s="1109" t="s">
        <v>835</v>
      </c>
      <c r="E26" s="1092"/>
      <c r="F26" s="1093"/>
      <c r="G26" s="1093"/>
      <c r="H26" s="1093"/>
      <c r="I26" s="1093">
        <v>108</v>
      </c>
      <c r="J26" s="1093"/>
      <c r="K26" s="1094">
        <f t="shared" si="4"/>
        <v>108</v>
      </c>
      <c r="L26" s="1077"/>
      <c r="M26" s="1077"/>
      <c r="N26" s="1155"/>
    </row>
    <row r="27" spans="1:14">
      <c r="A27" s="1077"/>
      <c r="B27" s="1077"/>
      <c r="C27" s="1084">
        <v>5</v>
      </c>
      <c r="D27" s="1109" t="s">
        <v>836</v>
      </c>
      <c r="E27" s="1092"/>
      <c r="F27" s="1093"/>
      <c r="G27" s="1093"/>
      <c r="H27" s="1093"/>
      <c r="I27" s="1093"/>
      <c r="J27" s="1093"/>
      <c r="K27" s="1094">
        <f t="shared" si="4"/>
        <v>0</v>
      </c>
      <c r="L27" s="1077"/>
      <c r="M27" s="1077"/>
      <c r="N27" s="1155"/>
    </row>
    <row r="28" spans="1:14">
      <c r="A28" s="1077"/>
      <c r="B28" s="1077"/>
      <c r="C28" s="1084">
        <v>6</v>
      </c>
      <c r="D28" s="1109" t="s">
        <v>837</v>
      </c>
      <c r="E28" s="1092"/>
      <c r="F28" s="1093"/>
      <c r="G28" s="1093"/>
      <c r="H28" s="1093"/>
      <c r="I28" s="1093"/>
      <c r="J28" s="1093"/>
      <c r="K28" s="1094">
        <f t="shared" si="4"/>
        <v>0</v>
      </c>
      <c r="L28" s="1077"/>
      <c r="M28" s="1077"/>
      <c r="N28" s="1155"/>
    </row>
    <row r="29" spans="1:14">
      <c r="A29" s="1077"/>
      <c r="B29" s="1077"/>
      <c r="C29" s="1084">
        <v>7</v>
      </c>
      <c r="D29" s="1109" t="s">
        <v>838</v>
      </c>
      <c r="E29" s="1092"/>
      <c r="F29" s="1093"/>
      <c r="G29" s="1093"/>
      <c r="H29" s="1093"/>
      <c r="I29" s="1093"/>
      <c r="J29" s="1093"/>
      <c r="K29" s="1094">
        <f t="shared" si="4"/>
        <v>0</v>
      </c>
      <c r="L29" s="1077"/>
      <c r="M29" s="1077"/>
      <c r="N29" s="1155"/>
    </row>
    <row r="30" spans="1:14">
      <c r="A30" s="1077"/>
      <c r="B30" s="1077"/>
      <c r="C30" s="1084">
        <v>8</v>
      </c>
      <c r="D30" s="1109" t="s">
        <v>839</v>
      </c>
      <c r="E30" s="1092"/>
      <c r="F30" s="1093"/>
      <c r="G30" s="1093"/>
      <c r="H30" s="1093"/>
      <c r="I30" s="1093"/>
      <c r="J30" s="1093"/>
      <c r="K30" s="1094">
        <f t="shared" si="4"/>
        <v>0</v>
      </c>
      <c r="L30" s="1077"/>
      <c r="M30" s="1077"/>
      <c r="N30" s="1155"/>
    </row>
    <row r="31" spans="1:14">
      <c r="A31" s="1077"/>
      <c r="B31" s="1077"/>
      <c r="C31" s="1084">
        <v>9</v>
      </c>
      <c r="D31" s="1109" t="s">
        <v>840</v>
      </c>
      <c r="E31" s="1092"/>
      <c r="F31" s="1093"/>
      <c r="G31" s="1093">
        <v>9120</v>
      </c>
      <c r="H31" s="1093"/>
      <c r="I31" s="1093"/>
      <c r="J31" s="1093"/>
      <c r="K31" s="1094">
        <f t="shared" si="4"/>
        <v>9120</v>
      </c>
      <c r="L31" s="1077"/>
      <c r="M31" s="1077"/>
      <c r="N31" s="1155"/>
    </row>
    <row r="32" spans="1:14">
      <c r="A32" s="1077"/>
      <c r="B32" s="1077"/>
      <c r="C32" s="1084">
        <v>10</v>
      </c>
      <c r="D32" s="1109" t="s">
        <v>841</v>
      </c>
      <c r="E32" s="1092"/>
      <c r="F32" s="1093"/>
      <c r="G32" s="1093"/>
      <c r="H32" s="1093"/>
      <c r="I32" s="1093"/>
      <c r="J32" s="1093"/>
      <c r="K32" s="1094">
        <f t="shared" si="4"/>
        <v>0</v>
      </c>
      <c r="L32" s="1077"/>
      <c r="M32" s="1077"/>
      <c r="N32" s="1155"/>
    </row>
    <row r="33" spans="1:14">
      <c r="A33" s="1077"/>
      <c r="B33" s="1077"/>
      <c r="C33" s="1084">
        <v>11</v>
      </c>
      <c r="D33" s="1109" t="s">
        <v>842</v>
      </c>
      <c r="E33" s="1092"/>
      <c r="F33" s="1093"/>
      <c r="G33" s="1093"/>
      <c r="H33" s="1093"/>
      <c r="I33" s="1093"/>
      <c r="J33" s="1093"/>
      <c r="K33" s="1094">
        <f t="shared" si="4"/>
        <v>0</v>
      </c>
      <c r="L33" s="1077"/>
      <c r="M33" s="1077"/>
      <c r="N33" s="1155"/>
    </row>
    <row r="34" spans="1:14">
      <c r="A34" s="1077"/>
      <c r="B34" s="1077"/>
      <c r="C34" s="1084">
        <v>12</v>
      </c>
      <c r="D34" s="1109" t="s">
        <v>843</v>
      </c>
      <c r="E34" s="1092"/>
      <c r="F34" s="1093"/>
      <c r="G34" s="1093"/>
      <c r="H34" s="1093"/>
      <c r="I34" s="1093"/>
      <c r="J34" s="1093"/>
      <c r="K34" s="1094">
        <f t="shared" si="4"/>
        <v>0</v>
      </c>
      <c r="L34" s="1077"/>
      <c r="M34" s="1077"/>
      <c r="N34" s="1155"/>
    </row>
    <row r="35" spans="1:14">
      <c r="A35" s="1077"/>
      <c r="B35" s="1077"/>
      <c r="C35" s="1084">
        <v>13</v>
      </c>
      <c r="D35" s="1109" t="s">
        <v>489</v>
      </c>
      <c r="E35" s="1092"/>
      <c r="F35" s="1093"/>
      <c r="G35" s="1093"/>
      <c r="H35" s="1093"/>
      <c r="I35" s="1093"/>
      <c r="J35" s="1093"/>
      <c r="K35" s="1094">
        <f t="shared" si="4"/>
        <v>0</v>
      </c>
      <c r="L35" s="1077"/>
      <c r="M35" s="1077"/>
      <c r="N35" s="1155"/>
    </row>
    <row r="36" spans="1:14">
      <c r="A36" s="1077"/>
      <c r="B36" s="1077"/>
      <c r="C36" s="1084">
        <v>14</v>
      </c>
      <c r="D36" s="1109" t="str">
        <f>'נספח 2 לטופס 1'!C39</f>
        <v xml:space="preserve">שיקים שחזרו וחובות בהסדר </v>
      </c>
      <c r="E36" s="1092"/>
      <c r="F36" s="1093"/>
      <c r="G36" s="1093">
        <f>5715+64+22</f>
        <v>5801</v>
      </c>
      <c r="H36" s="1093"/>
      <c r="I36" s="1093"/>
      <c r="J36" s="1093"/>
      <c r="K36" s="1094">
        <f t="shared" si="4"/>
        <v>5801</v>
      </c>
      <c r="L36" s="1077"/>
      <c r="M36" s="1077"/>
      <c r="N36" s="1155"/>
    </row>
    <row r="37" spans="1:14">
      <c r="A37" s="1077"/>
      <c r="B37" s="1077"/>
      <c r="C37" s="1084">
        <v>15</v>
      </c>
      <c r="D37" s="1109" t="str">
        <f>'נספח 2 לטופס 1'!C40</f>
        <v xml:space="preserve">אחרים </v>
      </c>
      <c r="E37" s="1092"/>
      <c r="F37" s="1093"/>
      <c r="G37" s="1093">
        <f>18</f>
        <v>18</v>
      </c>
      <c r="H37" s="1093"/>
      <c r="I37" s="1093"/>
      <c r="J37" s="1093"/>
      <c r="K37" s="1097">
        <f t="shared" si="4"/>
        <v>18</v>
      </c>
      <c r="L37" s="1077"/>
      <c r="M37" s="1077"/>
      <c r="N37" s="1155"/>
    </row>
    <row r="38" spans="1:14">
      <c r="A38" s="1077"/>
      <c r="B38" s="1077"/>
      <c r="C38" s="1084">
        <v>16</v>
      </c>
      <c r="D38" s="2614" t="str">
        <f>'נספח 2 לטופס 1'!C41</f>
        <v>היטל צריכה עודפת</v>
      </c>
      <c r="E38" s="1092"/>
      <c r="F38" s="1093"/>
      <c r="G38" s="1093"/>
      <c r="H38" s="1093"/>
      <c r="I38" s="1093"/>
      <c r="J38" s="1093"/>
      <c r="K38" s="1094">
        <f t="shared" si="4"/>
        <v>0</v>
      </c>
      <c r="L38" s="1077"/>
      <c r="M38" s="1077"/>
      <c r="N38" s="1155"/>
    </row>
    <row r="39" spans="1:14">
      <c r="A39" s="1077"/>
      <c r="B39" s="1077"/>
      <c r="C39" s="1084">
        <v>17</v>
      </c>
      <c r="D39" s="2614" t="str">
        <f>'נספח 2 לטופס 1'!C42</f>
        <v>חובות מסופקים וחובות למחיקה</v>
      </c>
      <c r="E39" s="1092"/>
      <c r="F39" s="1093"/>
      <c r="G39" s="1093"/>
      <c r="H39" s="1093"/>
      <c r="I39" s="1093"/>
      <c r="J39" s="1093"/>
      <c r="K39" s="2606">
        <f t="shared" si="4"/>
        <v>0</v>
      </c>
      <c r="L39" s="1077"/>
      <c r="M39" s="1077"/>
      <c r="N39" s="1155"/>
    </row>
    <row r="40" spans="1:14">
      <c r="A40" s="1077"/>
      <c r="B40" s="1077"/>
      <c r="C40" s="1084"/>
      <c r="D40" s="1088" t="s">
        <v>844</v>
      </c>
      <c r="E40" s="1112">
        <f t="shared" ref="E40:J40" si="5">SUM(E23:E39)</f>
        <v>0</v>
      </c>
      <c r="F40" s="1113">
        <f t="shared" si="5"/>
        <v>0</v>
      </c>
      <c r="G40" s="1113">
        <f t="shared" si="5"/>
        <v>14939</v>
      </c>
      <c r="H40" s="1113">
        <f t="shared" si="5"/>
        <v>0</v>
      </c>
      <c r="I40" s="1113">
        <f t="shared" si="5"/>
        <v>108</v>
      </c>
      <c r="J40" s="1113">
        <f t="shared" si="5"/>
        <v>0</v>
      </c>
      <c r="K40" s="1114">
        <f t="shared" si="4"/>
        <v>15047</v>
      </c>
      <c r="L40" s="1077"/>
      <c r="M40" s="1077"/>
      <c r="N40" s="1155"/>
    </row>
    <row r="41" spans="1:14" ht="5.25" customHeight="1">
      <c r="A41" s="1077"/>
      <c r="B41" s="1077"/>
      <c r="C41" s="1084"/>
      <c r="D41" s="1088"/>
      <c r="E41" s="1163"/>
      <c r="F41" s="1163"/>
      <c r="G41" s="1163"/>
      <c r="H41" s="1163"/>
      <c r="I41" s="1163"/>
      <c r="J41" s="1163"/>
      <c r="K41" s="1164"/>
      <c r="L41" s="1077"/>
      <c r="M41" s="1077"/>
      <c r="N41" s="1155"/>
    </row>
    <row r="42" spans="1:14" ht="15.75" customHeight="1" thickBot="1">
      <c r="A42" s="1077"/>
      <c r="B42" s="1077"/>
      <c r="C42" s="1084"/>
      <c r="D42" s="1088" t="s">
        <v>782</v>
      </c>
      <c r="E42" s="1118">
        <f t="shared" ref="E42:K42" si="6">E40+E20</f>
        <v>2519</v>
      </c>
      <c r="F42" s="1119">
        <f t="shared" si="6"/>
        <v>0</v>
      </c>
      <c r="G42" s="1119">
        <f t="shared" si="6"/>
        <v>40428</v>
      </c>
      <c r="H42" s="1119">
        <f t="shared" si="6"/>
        <v>42845</v>
      </c>
      <c r="I42" s="1119">
        <f t="shared" si="6"/>
        <v>504</v>
      </c>
      <c r="J42" s="1119">
        <f t="shared" si="6"/>
        <v>1435</v>
      </c>
      <c r="K42" s="1120">
        <f t="shared" si="6"/>
        <v>87731</v>
      </c>
      <c r="L42" s="1077"/>
      <c r="M42" s="1077"/>
      <c r="N42" s="1155"/>
    </row>
    <row r="43" spans="1:14" ht="12.75" customHeight="1" thickTop="1">
      <c r="A43" s="1077"/>
      <c r="B43" s="1077"/>
      <c r="C43" s="1084"/>
      <c r="D43" s="1002" t="s">
        <v>350</v>
      </c>
      <c r="E43" s="1088"/>
      <c r="F43" s="1088"/>
      <c r="G43" s="1088"/>
      <c r="H43" s="1088"/>
      <c r="I43" s="1088"/>
      <c r="J43" s="1088"/>
      <c r="K43" s="1086"/>
      <c r="L43" s="1077"/>
      <c r="M43" s="1077"/>
      <c r="N43" s="1155"/>
    </row>
    <row r="44" spans="1:14" ht="3" customHeight="1">
      <c r="A44" s="1077"/>
      <c r="B44" s="1077"/>
      <c r="C44" s="1168"/>
      <c r="D44" s="1169"/>
      <c r="E44" s="1170"/>
      <c r="F44" s="1170"/>
      <c r="G44" s="1170"/>
      <c r="H44" s="1170"/>
      <c r="I44" s="1170"/>
      <c r="J44" s="1170"/>
      <c r="K44" s="1171"/>
      <c r="L44" s="1077"/>
      <c r="M44" s="1077"/>
      <c r="N44" s="1155"/>
    </row>
    <row r="45" spans="1:14">
      <c r="A45" s="1077"/>
      <c r="B45" s="1077"/>
      <c r="C45" s="1077"/>
      <c r="D45" s="1077"/>
      <c r="E45" s="1077"/>
      <c r="F45" s="1077"/>
      <c r="G45" s="1077"/>
      <c r="H45" s="1077"/>
      <c r="I45" s="1077"/>
      <c r="J45" s="1077"/>
      <c r="K45" s="1077"/>
      <c r="L45" s="1077"/>
      <c r="M45" s="1077"/>
      <c r="N45" s="1155"/>
    </row>
    <row r="46" spans="1:14" ht="13.8" thickBot="1">
      <c r="A46" s="1077"/>
      <c r="B46" s="1077"/>
      <c r="C46" s="1077"/>
      <c r="D46" s="1077"/>
      <c r="E46" s="1077"/>
      <c r="F46" s="1077"/>
      <c r="G46" s="1077"/>
      <c r="H46" s="1077"/>
      <c r="I46" s="1077"/>
      <c r="J46" s="1077"/>
      <c r="K46" s="1077"/>
      <c r="L46" s="1077"/>
      <c r="M46" s="1077"/>
      <c r="N46" s="1155"/>
    </row>
    <row r="47" spans="1:14" ht="13.8" thickTop="1">
      <c r="A47" s="1172"/>
      <c r="B47" s="1172"/>
      <c r="C47" s="1172"/>
      <c r="D47" s="1172"/>
      <c r="E47" s="1172"/>
      <c r="F47" s="1172"/>
      <c r="G47" s="1172"/>
      <c r="H47" s="1172"/>
      <c r="I47" s="1172"/>
      <c r="J47" s="1172"/>
      <c r="K47" s="1172"/>
      <c r="L47" s="1172"/>
      <c r="M47" s="1172"/>
    </row>
    <row r="203" spans="4:11" ht="15.6">
      <c r="D203" s="3538" t="str">
        <f>E1</f>
        <v>עירית הרצליה</v>
      </c>
      <c r="E203" s="3538"/>
      <c r="F203" s="3538"/>
      <c r="G203" s="3538"/>
      <c r="H203" s="3538"/>
      <c r="I203" s="3538"/>
      <c r="J203" s="3538"/>
      <c r="K203" s="3538"/>
    </row>
    <row r="204" spans="4:11" ht="15.6">
      <c r="D204" s="3538" t="str">
        <f>E2</f>
        <v>הדוח הכספי לשנת 2015</v>
      </c>
      <c r="E204" s="3538"/>
      <c r="F204" s="3538"/>
      <c r="G204" s="3538"/>
      <c r="H204" s="3538"/>
      <c r="I204" s="3538"/>
      <c r="J204" s="3538"/>
      <c r="K204" s="3538"/>
    </row>
    <row r="205" spans="4:11" ht="15.6">
      <c r="D205" s="3525" t="str">
        <f>E3</f>
        <v>מצב חשבון החייבים בעד ארנונות, הטלים והשתתפויות לפי נתוני אגף הגביה (אלפי ש"ח)</v>
      </c>
      <c r="E205" s="3525"/>
      <c r="F205" s="3525"/>
      <c r="G205" s="3525"/>
      <c r="H205" s="3525"/>
      <c r="I205" s="3525"/>
      <c r="J205" s="3525"/>
      <c r="K205" s="3525"/>
    </row>
    <row r="206" spans="4:11" ht="1.5" customHeight="1"/>
    <row r="207" spans="4:11" ht="2.25" customHeight="1"/>
    <row r="208" spans="4:11" ht="0.75" customHeight="1"/>
    <row r="209" spans="3:11" ht="0.75" customHeight="1"/>
    <row r="210" spans="3:11" ht="38.25" customHeight="1">
      <c r="C210" s="1128" t="str">
        <f t="shared" ref="C210:K210" si="7">C5</f>
        <v>מס.</v>
      </c>
      <c r="D210" s="1129" t="str">
        <f t="shared" si="7"/>
        <v>שם החשבון</v>
      </c>
      <c r="E210" s="1129" t="str">
        <f t="shared" si="7"/>
        <v>פטורים שנה שוטפת</v>
      </c>
      <c r="F210" s="1129" t="str">
        <f t="shared" si="7"/>
        <v>פטורים שנים קודמות</v>
      </c>
      <c r="G210" s="1129" t="str">
        <f t="shared" si="7"/>
        <v>מחיקת חובות/חובות אבודים</v>
      </c>
      <c r="H210" s="1129" t="str">
        <f t="shared" si="7"/>
        <v>הנחות על פי דין</v>
      </c>
      <c r="I210" s="1129" t="str">
        <f t="shared" si="7"/>
        <v>הנחות על פי ועדה</v>
      </c>
      <c r="J210" s="1129" t="str">
        <f t="shared" si="7"/>
        <v>הנחות מימון</v>
      </c>
      <c r="K210" s="1129" t="str">
        <f t="shared" si="7"/>
        <v>סה"כ פטורים שחרורים והנחות</v>
      </c>
    </row>
    <row r="211" spans="3:11" s="1173" customFormat="1" ht="5.25" customHeight="1">
      <c r="C211" s="1130">
        <f t="shared" ref="C211:K211" si="8">C6</f>
        <v>0</v>
      </c>
      <c r="D211" s="1174">
        <f t="shared" si="8"/>
        <v>0</v>
      </c>
      <c r="E211" s="1131">
        <f t="shared" si="8"/>
        <v>0</v>
      </c>
      <c r="F211" s="1131">
        <f t="shared" si="8"/>
        <v>0</v>
      </c>
      <c r="G211" s="1131">
        <f t="shared" si="8"/>
        <v>0</v>
      </c>
      <c r="H211" s="1131">
        <f t="shared" si="8"/>
        <v>0</v>
      </c>
      <c r="I211" s="1131">
        <f t="shared" si="8"/>
        <v>0</v>
      </c>
      <c r="J211" s="1131">
        <f t="shared" si="8"/>
        <v>0</v>
      </c>
      <c r="K211" s="1175">
        <f t="shared" si="8"/>
        <v>0</v>
      </c>
    </row>
    <row r="212" spans="3:11" s="1173" customFormat="1">
      <c r="C212" s="1134" t="str">
        <f t="shared" ref="C212:K213" si="9">C7</f>
        <v xml:space="preserve">א. </v>
      </c>
      <c r="D212" s="1176" t="str">
        <f t="shared" si="9"/>
        <v>חשבונות על בסיס חיוב שנתי</v>
      </c>
      <c r="E212" s="1131">
        <f t="shared" si="9"/>
        <v>0</v>
      </c>
      <c r="F212" s="1131">
        <f t="shared" si="9"/>
        <v>0</v>
      </c>
      <c r="G212" s="1131">
        <f t="shared" si="9"/>
        <v>0</v>
      </c>
      <c r="H212" s="1131">
        <f t="shared" si="9"/>
        <v>0</v>
      </c>
      <c r="I212" s="1131">
        <f t="shared" si="9"/>
        <v>0</v>
      </c>
      <c r="J212" s="1131">
        <f t="shared" si="9"/>
        <v>0</v>
      </c>
      <c r="K212" s="1175">
        <f t="shared" si="9"/>
        <v>0</v>
      </c>
    </row>
    <row r="213" spans="3:11" s="1173" customFormat="1">
      <c r="C213" s="1134">
        <f t="shared" si="9"/>
        <v>1</v>
      </c>
      <c r="D213" s="2615" t="str">
        <f t="shared" si="9"/>
        <v>ארנונה</v>
      </c>
      <c r="E213" s="1136">
        <f t="shared" si="9"/>
        <v>0</v>
      </c>
      <c r="F213" s="1136">
        <f t="shared" si="9"/>
        <v>0</v>
      </c>
      <c r="G213" s="1136">
        <f t="shared" si="9"/>
        <v>0</v>
      </c>
      <c r="H213" s="1136">
        <f t="shared" si="9"/>
        <v>0</v>
      </c>
      <c r="I213" s="1136">
        <f t="shared" si="9"/>
        <v>0</v>
      </c>
      <c r="J213" s="1136">
        <f t="shared" si="9"/>
        <v>0</v>
      </c>
      <c r="K213" s="1136">
        <f t="shared" si="9"/>
        <v>0</v>
      </c>
    </row>
    <row r="214" spans="3:11">
      <c r="C214" s="1130" t="str">
        <f>IF(AND($E9=0,$F9=0,$G9=0,$H9=0,$I9=0,$J9=0,$K9=0),0,$C9)</f>
        <v>1.1</v>
      </c>
      <c r="D214" s="1174" t="str">
        <f>IF(AND($E9=0,$F9=0,$G9=0,$H9=0,$I9=0,$J9=0,$K9=0),0,$D9)</f>
        <v>ארנונה למגורים</v>
      </c>
      <c r="E214" s="1136">
        <f t="shared" ref="E214:K215" si="10">E9</f>
        <v>239</v>
      </c>
      <c r="F214" s="1136">
        <f t="shared" si="10"/>
        <v>0</v>
      </c>
      <c r="G214" s="1136">
        <f t="shared" si="10"/>
        <v>0</v>
      </c>
      <c r="H214" s="1136">
        <f t="shared" si="10"/>
        <v>30999</v>
      </c>
      <c r="I214" s="1136">
        <f t="shared" si="10"/>
        <v>396</v>
      </c>
      <c r="J214" s="1136">
        <f t="shared" si="10"/>
        <v>1435</v>
      </c>
      <c r="K214" s="1136">
        <f t="shared" si="10"/>
        <v>33069</v>
      </c>
    </row>
    <row r="215" spans="3:11">
      <c r="C215" s="1130" t="str">
        <f>IF(AND($E10=0,$F10=0,$G10=0,$H10=0,$I10=0,$J10=0,$K10=0),0,$C10)</f>
        <v>1.2</v>
      </c>
      <c r="D215" s="1174" t="str">
        <f>IF(AND($E10=0,$F10=0,$G10=0,$H10=0,$I10=0,$J10=0,$K10=0),0,$D10)</f>
        <v>ארנונה אחרת</v>
      </c>
      <c r="E215" s="1136">
        <f t="shared" si="10"/>
        <v>2280</v>
      </c>
      <c r="F215" s="1136">
        <f t="shared" si="10"/>
        <v>0</v>
      </c>
      <c r="G215" s="1136">
        <f t="shared" si="10"/>
        <v>0</v>
      </c>
      <c r="H215" s="1136">
        <f t="shared" si="10"/>
        <v>11846</v>
      </c>
      <c r="I215" s="1136">
        <f t="shared" si="10"/>
        <v>0</v>
      </c>
      <c r="J215" s="1136">
        <f t="shared" si="10"/>
        <v>0</v>
      </c>
      <c r="K215" s="1136">
        <f t="shared" si="10"/>
        <v>14126</v>
      </c>
    </row>
    <row r="216" spans="3:11">
      <c r="C216" s="1130" t="str">
        <f>IF(AND($E11=0,$F11=0,$G11=0,$H11=0,$I11=0,$J11=0,$K11=0),0,$C11)</f>
        <v>1.3</v>
      </c>
      <c r="D216" s="1174" t="str">
        <f>IF(AND($E11=0,$F11=0,$G11=0,$H11=0,$I11=0,$J11=0,$K11=0),0,$D11)</f>
        <v>חובות מסופקים וחובות למחיקה ארנונה</v>
      </c>
      <c r="E216" s="2889">
        <f t="shared" ref="E216:K217" si="11">E11</f>
        <v>0</v>
      </c>
      <c r="F216" s="2889">
        <f t="shared" si="11"/>
        <v>0</v>
      </c>
      <c r="G216" s="2889">
        <f t="shared" si="11"/>
        <v>24256</v>
      </c>
      <c r="H216" s="2889">
        <f t="shared" si="11"/>
        <v>0</v>
      </c>
      <c r="I216" s="2889">
        <f t="shared" si="11"/>
        <v>0</v>
      </c>
      <c r="J216" s="2889">
        <f t="shared" si="11"/>
        <v>0</v>
      </c>
      <c r="K216" s="2889">
        <f t="shared" si="11"/>
        <v>24256</v>
      </c>
    </row>
    <row r="217" spans="3:11">
      <c r="C217" s="1130">
        <f>IF(AND($E12=0,$F12=0,$G12=0,$H12=0,$I12=0,$J12=0,$K12=0),0,$C12)</f>
        <v>0</v>
      </c>
      <c r="D217" s="1174" t="str">
        <f>IF(AND($E12=0,$F12=0,$G12=0,$H12=0,$I12=0,$J12=0,$K12=0),0,$D12)</f>
        <v>סה"כ ארנונה</v>
      </c>
      <c r="E217" s="1140">
        <f t="shared" si="11"/>
        <v>2519</v>
      </c>
      <c r="F217" s="1140">
        <f t="shared" si="11"/>
        <v>0</v>
      </c>
      <c r="G217" s="1140">
        <f t="shared" si="11"/>
        <v>24256</v>
      </c>
      <c r="H217" s="1140">
        <f t="shared" si="11"/>
        <v>42845</v>
      </c>
      <c r="I217" s="1140">
        <f t="shared" si="11"/>
        <v>396</v>
      </c>
      <c r="J217" s="1140">
        <f t="shared" si="11"/>
        <v>1435</v>
      </c>
      <c r="K217" s="1140">
        <f t="shared" si="11"/>
        <v>71451</v>
      </c>
    </row>
    <row r="218" spans="3:11">
      <c r="C218" s="1134">
        <f>C13</f>
        <v>2</v>
      </c>
      <c r="D218" s="2615" t="str">
        <f>D13</f>
        <v>אגרת מים וביוב</v>
      </c>
      <c r="E218" s="2613">
        <f t="shared" ref="E218:K218" si="12">E13</f>
        <v>0</v>
      </c>
      <c r="F218" s="2613">
        <f t="shared" si="12"/>
        <v>0</v>
      </c>
      <c r="G218" s="2613">
        <f t="shared" si="12"/>
        <v>0</v>
      </c>
      <c r="H218" s="2613">
        <f t="shared" si="12"/>
        <v>0</v>
      </c>
      <c r="I218" s="2613">
        <f t="shared" si="12"/>
        <v>0</v>
      </c>
      <c r="J218" s="2613">
        <f t="shared" si="12"/>
        <v>0</v>
      </c>
      <c r="K218" s="2613">
        <f t="shared" si="12"/>
        <v>0</v>
      </c>
    </row>
    <row r="219" spans="3:11">
      <c r="C219" s="1130">
        <f t="shared" ref="C219:C224" si="13">IF(AND($E14=0,$F14=0,$G14=0,$H14=0,$I14=0,$J14=0,$K14=0),0,$C14)</f>
        <v>0</v>
      </c>
      <c r="D219" s="1174">
        <f>IF(AND($E14=0,$F14=0,$G14=0,$H14=0,$I14=0,$J14=0,$K14=0),0,$D14)</f>
        <v>0</v>
      </c>
      <c r="E219" s="2613">
        <f t="shared" ref="E219:K219" si="14">E14</f>
        <v>0</v>
      </c>
      <c r="F219" s="2613">
        <f t="shared" si="14"/>
        <v>0</v>
      </c>
      <c r="G219" s="2613">
        <f t="shared" si="14"/>
        <v>0</v>
      </c>
      <c r="H219" s="2613">
        <f t="shared" si="14"/>
        <v>0</v>
      </c>
      <c r="I219" s="2613">
        <f t="shared" si="14"/>
        <v>0</v>
      </c>
      <c r="J219" s="2613">
        <f t="shared" si="14"/>
        <v>0</v>
      </c>
      <c r="K219" s="2613">
        <f t="shared" si="14"/>
        <v>0</v>
      </c>
    </row>
    <row r="220" spans="3:11">
      <c r="C220" s="1130">
        <f t="shared" si="13"/>
        <v>2.2000000000000002</v>
      </c>
      <c r="D220" s="1174" t="str">
        <f>IF(AND($E15=0,$F15=0,$G15=0,$H15=0,$I15=0,$J15=0,$K15=0),0,$D15)</f>
        <v>חובות מסופקים וחובות למחיקה מים</v>
      </c>
      <c r="E220" s="2613">
        <f t="shared" ref="E220:K220" si="15">E15</f>
        <v>0</v>
      </c>
      <c r="F220" s="2613">
        <f t="shared" si="15"/>
        <v>0</v>
      </c>
      <c r="G220" s="2613">
        <f t="shared" si="15"/>
        <v>1233</v>
      </c>
      <c r="H220" s="2613">
        <f t="shared" si="15"/>
        <v>0</v>
      </c>
      <c r="I220" s="2613">
        <f t="shared" si="15"/>
        <v>0</v>
      </c>
      <c r="J220" s="2613">
        <f t="shared" si="15"/>
        <v>0</v>
      </c>
      <c r="K220" s="2613">
        <f t="shared" si="15"/>
        <v>1233</v>
      </c>
    </row>
    <row r="221" spans="3:11">
      <c r="C221" s="1130">
        <f t="shared" si="13"/>
        <v>0</v>
      </c>
      <c r="D221" s="1174" t="str">
        <f>IF(AND($E16=0,$F16=0,$G16=0,$H16=0,$I16=0,$J16=0,$K16=0),0,$D16)</f>
        <v>סה"כ מים</v>
      </c>
      <c r="E221" s="1140">
        <f t="shared" ref="E221:K223" si="16">E16</f>
        <v>0</v>
      </c>
      <c r="F221" s="1140">
        <f t="shared" si="16"/>
        <v>0</v>
      </c>
      <c r="G221" s="1140">
        <f t="shared" si="16"/>
        <v>1233</v>
      </c>
      <c r="H221" s="1140">
        <f t="shared" si="16"/>
        <v>0</v>
      </c>
      <c r="I221" s="1140">
        <f t="shared" si="16"/>
        <v>0</v>
      </c>
      <c r="J221" s="1140">
        <f t="shared" si="16"/>
        <v>0</v>
      </c>
      <c r="K221" s="1140">
        <f t="shared" si="16"/>
        <v>1233</v>
      </c>
    </row>
    <row r="222" spans="3:11">
      <c r="C222" s="1130">
        <f t="shared" si="13"/>
        <v>0</v>
      </c>
      <c r="D222" s="1174">
        <f>IF(AND($E17=0,$F17=0,$G17=0,$H17=0,$I17=0,$J17=0,$K17=0),0,$D17)</f>
        <v>0</v>
      </c>
      <c r="E222" s="2613">
        <f t="shared" si="16"/>
        <v>0</v>
      </c>
      <c r="F222" s="2613">
        <f t="shared" si="16"/>
        <v>0</v>
      </c>
      <c r="G222" s="2613">
        <f t="shared" si="16"/>
        <v>0</v>
      </c>
      <c r="H222" s="2613">
        <f t="shared" si="16"/>
        <v>0</v>
      </c>
      <c r="I222" s="2613">
        <f t="shared" si="16"/>
        <v>0</v>
      </c>
      <c r="J222" s="2613">
        <f t="shared" si="16"/>
        <v>0</v>
      </c>
      <c r="K222" s="2613">
        <f t="shared" si="16"/>
        <v>0</v>
      </c>
    </row>
    <row r="223" spans="3:11">
      <c r="C223" s="1134">
        <f t="shared" si="13"/>
        <v>0</v>
      </c>
      <c r="D223" s="1174" t="str">
        <f>IF(AND($D18&lt;&gt;"(***)",OR($E18&lt;&gt;0,$F18&lt;&gt;0,$G18&lt;&gt;0,$H18&lt;&gt;0,$I18&lt;&gt;0,$J18&lt;&gt;0,$K18&lt;&gt;0)),$D18,"")</f>
        <v/>
      </c>
      <c r="E223" s="1136">
        <f t="shared" si="16"/>
        <v>0</v>
      </c>
      <c r="F223" s="1136">
        <f t="shared" si="16"/>
        <v>0</v>
      </c>
      <c r="G223" s="1136">
        <f t="shared" si="16"/>
        <v>0</v>
      </c>
      <c r="H223" s="1136">
        <f t="shared" si="16"/>
        <v>0</v>
      </c>
      <c r="I223" s="1136">
        <f t="shared" si="16"/>
        <v>0</v>
      </c>
      <c r="J223" s="1136">
        <f t="shared" si="16"/>
        <v>0</v>
      </c>
      <c r="K223" s="1136">
        <f t="shared" si="16"/>
        <v>0</v>
      </c>
    </row>
    <row r="224" spans="3:11">
      <c r="C224" s="1134">
        <f t="shared" si="13"/>
        <v>0</v>
      </c>
      <c r="D224" s="1174" t="str">
        <f>IF(AND($D19&lt;&gt;"(***)",OR($E19&lt;&gt;0,$F19&lt;&gt;0,$G19&lt;&gt;0,$H19&lt;&gt;0,$I19&lt;&gt;0,$J19&lt;&gt;0,$K19&lt;&gt;0)),$D19,"")</f>
        <v/>
      </c>
      <c r="E224" s="1136">
        <f t="shared" ref="E224:K224" si="17">E19</f>
        <v>0</v>
      </c>
      <c r="F224" s="1136">
        <f t="shared" si="17"/>
        <v>0</v>
      </c>
      <c r="G224" s="1136">
        <f t="shared" si="17"/>
        <v>0</v>
      </c>
      <c r="H224" s="1136">
        <f t="shared" si="17"/>
        <v>0</v>
      </c>
      <c r="I224" s="1136">
        <f t="shared" si="17"/>
        <v>0</v>
      </c>
      <c r="J224" s="1136">
        <f t="shared" si="17"/>
        <v>0</v>
      </c>
      <c r="K224" s="1136">
        <f t="shared" si="17"/>
        <v>0</v>
      </c>
    </row>
    <row r="225" spans="3:11">
      <c r="C225" s="1130">
        <f>C20</f>
        <v>0</v>
      </c>
      <c r="D225" s="1174" t="str">
        <f>IF(AND($E20=0,$F20=0,$G20=0,$H20=0,$I20=0,$J20=0,$K20=0),0,$D20)</f>
        <v>סה"כ חשבונות על בסיס חיוב שנתי</v>
      </c>
      <c r="E225" s="1140">
        <f t="shared" ref="E225:K230" si="18">E20</f>
        <v>2519</v>
      </c>
      <c r="F225" s="1140">
        <f t="shared" si="18"/>
        <v>0</v>
      </c>
      <c r="G225" s="1140">
        <f t="shared" si="18"/>
        <v>25489</v>
      </c>
      <c r="H225" s="1140">
        <f t="shared" si="18"/>
        <v>42845</v>
      </c>
      <c r="I225" s="1140">
        <f t="shared" si="18"/>
        <v>396</v>
      </c>
      <c r="J225" s="1140">
        <f t="shared" si="18"/>
        <v>1435</v>
      </c>
      <c r="K225" s="1140">
        <f t="shared" si="18"/>
        <v>72684</v>
      </c>
    </row>
    <row r="226" spans="3:11" s="1173" customFormat="1" ht="9.75" customHeight="1">
      <c r="C226" s="1130">
        <f>C21</f>
        <v>0</v>
      </c>
      <c r="D226" s="1174">
        <f>D21</f>
        <v>0</v>
      </c>
      <c r="E226" s="1177">
        <f t="shared" si="18"/>
        <v>0</v>
      </c>
      <c r="F226" s="1177">
        <f t="shared" si="18"/>
        <v>0</v>
      </c>
      <c r="G226" s="1177">
        <f t="shared" si="18"/>
        <v>0</v>
      </c>
      <c r="H226" s="1177">
        <f t="shared" si="18"/>
        <v>0</v>
      </c>
      <c r="I226" s="1177">
        <f t="shared" si="18"/>
        <v>0</v>
      </c>
      <c r="J226" s="1177">
        <f t="shared" si="18"/>
        <v>0</v>
      </c>
      <c r="K226" s="1178">
        <f t="shared" si="18"/>
        <v>0</v>
      </c>
    </row>
    <row r="227" spans="3:11" s="1173" customFormat="1" ht="12.75" customHeight="1">
      <c r="C227" s="1134" t="str">
        <f>C22</f>
        <v xml:space="preserve">ב. </v>
      </c>
      <c r="D227" s="1176" t="str">
        <f>D22</f>
        <v>חשבונות על בסיס חיוב חד פעמי</v>
      </c>
      <c r="E227" s="1179">
        <f t="shared" si="18"/>
        <v>0</v>
      </c>
      <c r="F227" s="1179">
        <f t="shared" si="18"/>
        <v>0</v>
      </c>
      <c r="G227" s="1179">
        <f t="shared" si="18"/>
        <v>0</v>
      </c>
      <c r="H227" s="1179">
        <f t="shared" si="18"/>
        <v>0</v>
      </c>
      <c r="I227" s="1179">
        <f t="shared" si="18"/>
        <v>0</v>
      </c>
      <c r="J227" s="1179">
        <f t="shared" si="18"/>
        <v>0</v>
      </c>
      <c r="K227" s="1180">
        <f t="shared" si="18"/>
        <v>0</v>
      </c>
    </row>
    <row r="228" spans="3:11">
      <c r="C228" s="1130">
        <f t="shared" ref="C228:C244" si="19">IF(AND($E23=0,$F23=0,$G23=0,$H23=0,$I23=0,$J23=0,$K23=0),0,$C23)</f>
        <v>0</v>
      </c>
      <c r="D228" s="1174">
        <f t="shared" ref="D228:D242" si="20">IF(AND($E23=0,$F23=0,$G23=0,$H23=0,$I23=0,$J23=0,$K23=0),0,$D23)</f>
        <v>0</v>
      </c>
      <c r="E228" s="1136">
        <f t="shared" si="18"/>
        <v>0</v>
      </c>
      <c r="F228" s="1136">
        <f t="shared" si="18"/>
        <v>0</v>
      </c>
      <c r="G228" s="1136">
        <f t="shared" si="18"/>
        <v>0</v>
      </c>
      <c r="H228" s="1136">
        <f t="shared" si="18"/>
        <v>0</v>
      </c>
      <c r="I228" s="1136">
        <f t="shared" si="18"/>
        <v>0</v>
      </c>
      <c r="J228" s="1136">
        <f t="shared" si="18"/>
        <v>0</v>
      </c>
      <c r="K228" s="1136">
        <f t="shared" si="18"/>
        <v>0</v>
      </c>
    </row>
    <row r="229" spans="3:11">
      <c r="C229" s="1130">
        <f t="shared" si="19"/>
        <v>0</v>
      </c>
      <c r="D229" s="1174">
        <f t="shared" si="20"/>
        <v>0</v>
      </c>
      <c r="E229" s="1136">
        <f t="shared" si="18"/>
        <v>0</v>
      </c>
      <c r="F229" s="1136">
        <f t="shared" si="18"/>
        <v>0</v>
      </c>
      <c r="G229" s="1136">
        <f t="shared" si="18"/>
        <v>0</v>
      </c>
      <c r="H229" s="1136">
        <f t="shared" si="18"/>
        <v>0</v>
      </c>
      <c r="I229" s="1136">
        <f t="shared" si="18"/>
        <v>0</v>
      </c>
      <c r="J229" s="1136">
        <f t="shared" si="18"/>
        <v>0</v>
      </c>
      <c r="K229" s="1136">
        <f t="shared" si="18"/>
        <v>0</v>
      </c>
    </row>
    <row r="230" spans="3:11">
      <c r="C230" s="1130">
        <f t="shared" si="19"/>
        <v>0</v>
      </c>
      <c r="D230" s="1174">
        <f t="shared" si="20"/>
        <v>0</v>
      </c>
      <c r="E230" s="1136">
        <f t="shared" si="18"/>
        <v>0</v>
      </c>
      <c r="F230" s="1136">
        <f t="shared" si="18"/>
        <v>0</v>
      </c>
      <c r="G230" s="1136">
        <f t="shared" si="18"/>
        <v>0</v>
      </c>
      <c r="H230" s="1136">
        <f t="shared" si="18"/>
        <v>0</v>
      </c>
      <c r="I230" s="1136">
        <f t="shared" si="18"/>
        <v>0</v>
      </c>
      <c r="J230" s="1136">
        <f t="shared" si="18"/>
        <v>0</v>
      </c>
      <c r="K230" s="1136">
        <f t="shared" si="18"/>
        <v>0</v>
      </c>
    </row>
    <row r="231" spans="3:11">
      <c r="C231" s="1130">
        <f t="shared" si="19"/>
        <v>4</v>
      </c>
      <c r="D231" s="1174" t="str">
        <f t="shared" si="20"/>
        <v>עצמיות חינוך</v>
      </c>
      <c r="E231" s="1136">
        <f t="shared" ref="E231:K240" si="21">E26</f>
        <v>0</v>
      </c>
      <c r="F231" s="1136">
        <f t="shared" si="21"/>
        <v>0</v>
      </c>
      <c r="G231" s="1136">
        <f t="shared" si="21"/>
        <v>0</v>
      </c>
      <c r="H231" s="1136">
        <f t="shared" si="21"/>
        <v>0</v>
      </c>
      <c r="I231" s="1136">
        <f t="shared" si="21"/>
        <v>108</v>
      </c>
      <c r="J231" s="1136">
        <f t="shared" si="21"/>
        <v>0</v>
      </c>
      <c r="K231" s="1136">
        <f t="shared" si="21"/>
        <v>108</v>
      </c>
    </row>
    <row r="232" spans="3:11">
      <c r="C232" s="1130">
        <f t="shared" si="19"/>
        <v>0</v>
      </c>
      <c r="D232" s="1174">
        <f t="shared" si="20"/>
        <v>0</v>
      </c>
      <c r="E232" s="1136">
        <f t="shared" si="21"/>
        <v>0</v>
      </c>
      <c r="F232" s="1136">
        <f t="shared" si="21"/>
        <v>0</v>
      </c>
      <c r="G232" s="1136">
        <f t="shared" si="21"/>
        <v>0</v>
      </c>
      <c r="H232" s="1136">
        <f t="shared" si="21"/>
        <v>0</v>
      </c>
      <c r="I232" s="1136">
        <f t="shared" si="21"/>
        <v>0</v>
      </c>
      <c r="J232" s="1136">
        <f t="shared" si="21"/>
        <v>0</v>
      </c>
      <c r="K232" s="1136">
        <f t="shared" si="21"/>
        <v>0</v>
      </c>
    </row>
    <row r="233" spans="3:11">
      <c r="C233" s="1130">
        <f t="shared" si="19"/>
        <v>0</v>
      </c>
      <c r="D233" s="1174">
        <f t="shared" si="20"/>
        <v>0</v>
      </c>
      <c r="E233" s="1136">
        <f t="shared" si="21"/>
        <v>0</v>
      </c>
      <c r="F233" s="1136">
        <f t="shared" si="21"/>
        <v>0</v>
      </c>
      <c r="G233" s="1136">
        <f t="shared" si="21"/>
        <v>0</v>
      </c>
      <c r="H233" s="1136">
        <f t="shared" si="21"/>
        <v>0</v>
      </c>
      <c r="I233" s="1136">
        <f t="shared" si="21"/>
        <v>0</v>
      </c>
      <c r="J233" s="1136">
        <f t="shared" si="21"/>
        <v>0</v>
      </c>
      <c r="K233" s="1136">
        <f t="shared" si="21"/>
        <v>0</v>
      </c>
    </row>
    <row r="234" spans="3:11">
      <c r="C234" s="1130">
        <f t="shared" si="19"/>
        <v>0</v>
      </c>
      <c r="D234" s="1174">
        <f t="shared" si="20"/>
        <v>0</v>
      </c>
      <c r="E234" s="1136">
        <f t="shared" si="21"/>
        <v>0</v>
      </c>
      <c r="F234" s="1136">
        <f t="shared" si="21"/>
        <v>0</v>
      </c>
      <c r="G234" s="1136">
        <f t="shared" si="21"/>
        <v>0</v>
      </c>
      <c r="H234" s="1136">
        <f t="shared" si="21"/>
        <v>0</v>
      </c>
      <c r="I234" s="1136">
        <f t="shared" si="21"/>
        <v>0</v>
      </c>
      <c r="J234" s="1136">
        <f t="shared" si="21"/>
        <v>0</v>
      </c>
      <c r="K234" s="1136">
        <f t="shared" si="21"/>
        <v>0</v>
      </c>
    </row>
    <row r="235" spans="3:11">
      <c r="C235" s="1130">
        <f t="shared" si="19"/>
        <v>0</v>
      </c>
      <c r="D235" s="1174">
        <f t="shared" si="20"/>
        <v>0</v>
      </c>
      <c r="E235" s="1136">
        <f t="shared" si="21"/>
        <v>0</v>
      </c>
      <c r="F235" s="1136">
        <f t="shared" si="21"/>
        <v>0</v>
      </c>
      <c r="G235" s="1136">
        <f t="shared" si="21"/>
        <v>0</v>
      </c>
      <c r="H235" s="1136">
        <f t="shared" si="21"/>
        <v>0</v>
      </c>
      <c r="I235" s="1136">
        <f t="shared" si="21"/>
        <v>0</v>
      </c>
      <c r="J235" s="1136">
        <f t="shared" si="21"/>
        <v>0</v>
      </c>
      <c r="K235" s="1136">
        <f t="shared" si="21"/>
        <v>0</v>
      </c>
    </row>
    <row r="236" spans="3:11">
      <c r="C236" s="1130">
        <f t="shared" si="19"/>
        <v>9</v>
      </c>
      <c r="D236" s="1174" t="str">
        <f t="shared" si="20"/>
        <v>הטלי פיתוח</v>
      </c>
      <c r="E236" s="1136">
        <f t="shared" si="21"/>
        <v>0</v>
      </c>
      <c r="F236" s="1136">
        <f t="shared" si="21"/>
        <v>0</v>
      </c>
      <c r="G236" s="1136">
        <f t="shared" si="21"/>
        <v>9120</v>
      </c>
      <c r="H236" s="1136">
        <f t="shared" si="21"/>
        <v>0</v>
      </c>
      <c r="I236" s="1136">
        <f t="shared" si="21"/>
        <v>0</v>
      </c>
      <c r="J236" s="1136">
        <f t="shared" si="21"/>
        <v>0</v>
      </c>
      <c r="K236" s="1136">
        <f t="shared" si="21"/>
        <v>9120</v>
      </c>
    </row>
    <row r="237" spans="3:11">
      <c r="C237" s="1130">
        <f t="shared" si="19"/>
        <v>0</v>
      </c>
      <c r="D237" s="1174">
        <f t="shared" si="20"/>
        <v>0</v>
      </c>
      <c r="E237" s="1136">
        <f t="shared" si="21"/>
        <v>0</v>
      </c>
      <c r="F237" s="1136">
        <f t="shared" si="21"/>
        <v>0</v>
      </c>
      <c r="G237" s="1136">
        <f t="shared" si="21"/>
        <v>0</v>
      </c>
      <c r="H237" s="1136">
        <f t="shared" si="21"/>
        <v>0</v>
      </c>
      <c r="I237" s="1136">
        <f t="shared" si="21"/>
        <v>0</v>
      </c>
      <c r="J237" s="1136">
        <f t="shared" si="21"/>
        <v>0</v>
      </c>
      <c r="K237" s="1136">
        <f t="shared" si="21"/>
        <v>0</v>
      </c>
    </row>
    <row r="238" spans="3:11">
      <c r="C238" s="1130">
        <f t="shared" si="19"/>
        <v>0</v>
      </c>
      <c r="D238" s="1174">
        <f t="shared" si="20"/>
        <v>0</v>
      </c>
      <c r="E238" s="1136">
        <f t="shared" si="21"/>
        <v>0</v>
      </c>
      <c r="F238" s="1136">
        <f t="shared" si="21"/>
        <v>0</v>
      </c>
      <c r="G238" s="1136">
        <f t="shared" si="21"/>
        <v>0</v>
      </c>
      <c r="H238" s="1136">
        <f t="shared" si="21"/>
        <v>0</v>
      </c>
      <c r="I238" s="1136">
        <f t="shared" si="21"/>
        <v>0</v>
      </c>
      <c r="J238" s="1136">
        <f t="shared" si="21"/>
        <v>0</v>
      </c>
      <c r="K238" s="1136">
        <f t="shared" si="21"/>
        <v>0</v>
      </c>
    </row>
    <row r="239" spans="3:11">
      <c r="C239" s="1130">
        <f t="shared" si="19"/>
        <v>0</v>
      </c>
      <c r="D239" s="1174">
        <f t="shared" si="20"/>
        <v>0</v>
      </c>
      <c r="E239" s="1136">
        <f t="shared" si="21"/>
        <v>0</v>
      </c>
      <c r="F239" s="1136">
        <f t="shared" si="21"/>
        <v>0</v>
      </c>
      <c r="G239" s="1136">
        <f t="shared" si="21"/>
        <v>0</v>
      </c>
      <c r="H239" s="1136">
        <f t="shared" si="21"/>
        <v>0</v>
      </c>
      <c r="I239" s="1136">
        <f t="shared" si="21"/>
        <v>0</v>
      </c>
      <c r="J239" s="1136">
        <f t="shared" si="21"/>
        <v>0</v>
      </c>
      <c r="K239" s="1136">
        <f t="shared" si="21"/>
        <v>0</v>
      </c>
    </row>
    <row r="240" spans="3:11">
      <c r="C240" s="1130">
        <f t="shared" si="19"/>
        <v>0</v>
      </c>
      <c r="D240" s="1174">
        <f t="shared" si="20"/>
        <v>0</v>
      </c>
      <c r="E240" s="1136">
        <f t="shared" si="21"/>
        <v>0</v>
      </c>
      <c r="F240" s="1136">
        <f t="shared" si="21"/>
        <v>0</v>
      </c>
      <c r="G240" s="1136">
        <f t="shared" si="21"/>
        <v>0</v>
      </c>
      <c r="H240" s="1136">
        <f t="shared" si="21"/>
        <v>0</v>
      </c>
      <c r="I240" s="1136">
        <f t="shared" si="21"/>
        <v>0</v>
      </c>
      <c r="J240" s="1136">
        <f t="shared" si="21"/>
        <v>0</v>
      </c>
      <c r="K240" s="1136">
        <f t="shared" si="21"/>
        <v>0</v>
      </c>
    </row>
    <row r="241" spans="3:11">
      <c r="C241" s="1130">
        <f t="shared" si="19"/>
        <v>14</v>
      </c>
      <c r="D241" s="1174" t="str">
        <f t="shared" si="20"/>
        <v xml:space="preserve">שיקים שחזרו וחובות בהסדר </v>
      </c>
      <c r="E241" s="1136">
        <f t="shared" ref="E241:K244" si="22">E36</f>
        <v>0</v>
      </c>
      <c r="F241" s="1136">
        <f t="shared" si="22"/>
        <v>0</v>
      </c>
      <c r="G241" s="1136">
        <f t="shared" si="22"/>
        <v>5801</v>
      </c>
      <c r="H241" s="1136">
        <f t="shared" si="22"/>
        <v>0</v>
      </c>
      <c r="I241" s="1136">
        <f t="shared" si="22"/>
        <v>0</v>
      </c>
      <c r="J241" s="1136">
        <f t="shared" si="22"/>
        <v>0</v>
      </c>
      <c r="K241" s="1136">
        <f t="shared" si="22"/>
        <v>5801</v>
      </c>
    </row>
    <row r="242" spans="3:11">
      <c r="C242" s="1130">
        <f t="shared" si="19"/>
        <v>15</v>
      </c>
      <c r="D242" s="1174" t="str">
        <f t="shared" si="20"/>
        <v xml:space="preserve">אחרים </v>
      </c>
      <c r="E242" s="1136">
        <f t="shared" si="22"/>
        <v>0</v>
      </c>
      <c r="F242" s="1136">
        <f t="shared" si="22"/>
        <v>0</v>
      </c>
      <c r="G242" s="1136">
        <f t="shared" si="22"/>
        <v>18</v>
      </c>
      <c r="H242" s="1136">
        <f t="shared" si="22"/>
        <v>0</v>
      </c>
      <c r="I242" s="1136">
        <f t="shared" si="22"/>
        <v>0</v>
      </c>
      <c r="J242" s="1136">
        <f t="shared" si="22"/>
        <v>0</v>
      </c>
      <c r="K242" s="1136">
        <f t="shared" si="22"/>
        <v>18</v>
      </c>
    </row>
    <row r="243" spans="3:11">
      <c r="C243" s="1130">
        <f t="shared" si="19"/>
        <v>0</v>
      </c>
      <c r="D243" s="1174" t="str">
        <f>IF(AND($D38&lt;&gt;"(***)",OR($E38&lt;&gt;0,$F38&lt;&gt;0,$G38&lt;&gt;0,$H38&lt;&gt;0,$I38&lt;&gt;0,$J38&lt;&gt;0,$K38&lt;&gt;0)),$D38,"")</f>
        <v/>
      </c>
      <c r="E243" s="1136">
        <f t="shared" si="22"/>
        <v>0</v>
      </c>
      <c r="F243" s="1136">
        <f t="shared" si="22"/>
        <v>0</v>
      </c>
      <c r="G243" s="1136">
        <f t="shared" si="22"/>
        <v>0</v>
      </c>
      <c r="H243" s="1136">
        <f t="shared" si="22"/>
        <v>0</v>
      </c>
      <c r="I243" s="1136">
        <f t="shared" si="22"/>
        <v>0</v>
      </c>
      <c r="J243" s="1136">
        <f t="shared" si="22"/>
        <v>0</v>
      </c>
      <c r="K243" s="1136">
        <f t="shared" si="22"/>
        <v>0</v>
      </c>
    </row>
    <row r="244" spans="3:11">
      <c r="C244" s="1130">
        <f t="shared" si="19"/>
        <v>0</v>
      </c>
      <c r="D244" s="1174" t="str">
        <f>IF(AND($D39&lt;&gt;"(***)",OR($E39&lt;&gt;0,$F39&lt;&gt;0,$G39&lt;&gt;0,$H39&lt;&gt;0,$I39&lt;&gt;0,$J39&lt;&gt;0,$K39&lt;&gt;0)),$D39,"")</f>
        <v/>
      </c>
      <c r="E244" s="1136">
        <f t="shared" si="22"/>
        <v>0</v>
      </c>
      <c r="F244" s="1136">
        <f t="shared" si="22"/>
        <v>0</v>
      </c>
      <c r="G244" s="1136">
        <f t="shared" si="22"/>
        <v>0</v>
      </c>
      <c r="H244" s="1136">
        <f t="shared" si="22"/>
        <v>0</v>
      </c>
      <c r="I244" s="1136">
        <f t="shared" si="22"/>
        <v>0</v>
      </c>
      <c r="J244" s="1136">
        <f t="shared" si="22"/>
        <v>0</v>
      </c>
      <c r="K244" s="1136">
        <f t="shared" si="22"/>
        <v>0</v>
      </c>
    </row>
    <row r="245" spans="3:11">
      <c r="C245" s="1130">
        <f>C40</f>
        <v>0</v>
      </c>
      <c r="D245" s="1174" t="str">
        <f>IF(AND($E40=0,$F40=0,$G40=0,$H40=0,$I40=0,$J40=0,$K40=0),0,$D40)</f>
        <v>סה"כ חשבונות על בסיס חיוב חד-פעמי</v>
      </c>
      <c r="E245" s="1140">
        <f t="shared" ref="E245:K247" si="23">E40</f>
        <v>0</v>
      </c>
      <c r="F245" s="1140">
        <f t="shared" si="23"/>
        <v>0</v>
      </c>
      <c r="G245" s="1140">
        <f t="shared" si="23"/>
        <v>14939</v>
      </c>
      <c r="H245" s="1140">
        <f t="shared" si="23"/>
        <v>0</v>
      </c>
      <c r="I245" s="1140">
        <f t="shared" si="23"/>
        <v>108</v>
      </c>
      <c r="J245" s="1140">
        <f t="shared" si="23"/>
        <v>0</v>
      </c>
      <c r="K245" s="1140">
        <f t="shared" si="23"/>
        <v>15047</v>
      </c>
    </row>
    <row r="246" spans="3:11" s="1173" customFormat="1">
      <c r="C246" s="1130">
        <f>C41</f>
        <v>0</v>
      </c>
      <c r="D246" s="1174">
        <f>D41</f>
        <v>0</v>
      </c>
      <c r="E246" s="1177">
        <f t="shared" si="23"/>
        <v>0</v>
      </c>
      <c r="F246" s="1177">
        <f t="shared" si="23"/>
        <v>0</v>
      </c>
      <c r="G246" s="1177">
        <f t="shared" si="23"/>
        <v>0</v>
      </c>
      <c r="H246" s="1177">
        <f t="shared" si="23"/>
        <v>0</v>
      </c>
      <c r="I246" s="1177">
        <f t="shared" si="23"/>
        <v>0</v>
      </c>
      <c r="J246" s="1177">
        <f t="shared" si="23"/>
        <v>0</v>
      </c>
      <c r="K246" s="1178">
        <f t="shared" si="23"/>
        <v>0</v>
      </c>
    </row>
    <row r="247" spans="3:11" ht="13.8" thickBot="1">
      <c r="C247" s="1130">
        <f>C42</f>
        <v>0</v>
      </c>
      <c r="D247" s="1174" t="str">
        <f>IF(AND($E42=0,$F42=0,$G42=0,$H42=0,$I42=0,$J42=0,$K42=0),0,$D42)</f>
        <v>סה"כ</v>
      </c>
      <c r="E247" s="1143">
        <f t="shared" si="23"/>
        <v>2519</v>
      </c>
      <c r="F247" s="1143">
        <f t="shared" si="23"/>
        <v>0</v>
      </c>
      <c r="G247" s="1143">
        <f t="shared" si="23"/>
        <v>40428</v>
      </c>
      <c r="H247" s="1143">
        <f t="shared" si="23"/>
        <v>42845</v>
      </c>
      <c r="I247" s="1143">
        <f t="shared" si="23"/>
        <v>504</v>
      </c>
      <c r="J247" s="1143">
        <f t="shared" si="23"/>
        <v>1435</v>
      </c>
      <c r="K247" s="1143">
        <f t="shared" si="23"/>
        <v>87731</v>
      </c>
    </row>
    <row r="248" spans="3:11" s="1173" customFormat="1" ht="13.5" customHeight="1" thickTop="1">
      <c r="C248" s="1181">
        <f>C44</f>
        <v>0</v>
      </c>
      <c r="D248" s="1182">
        <f>IF(D43&lt;&gt;"(***)",D43,0)</f>
        <v>0</v>
      </c>
      <c r="E248" s="1182">
        <f t="shared" ref="E248:K248" si="24">E44</f>
        <v>0</v>
      </c>
      <c r="F248" s="1182">
        <f t="shared" si="24"/>
        <v>0</v>
      </c>
      <c r="G248" s="1182">
        <f t="shared" si="24"/>
        <v>0</v>
      </c>
      <c r="H248" s="1182">
        <f t="shared" si="24"/>
        <v>0</v>
      </c>
      <c r="I248" s="1182">
        <f t="shared" si="24"/>
        <v>0</v>
      </c>
      <c r="J248" s="1182">
        <f t="shared" si="24"/>
        <v>0</v>
      </c>
      <c r="K248" s="1183">
        <f t="shared" si="24"/>
        <v>0</v>
      </c>
    </row>
  </sheetData>
  <sheetProtection password="83C1" sheet="1" objects="1" scenarios="1"/>
  <mergeCells count="6">
    <mergeCell ref="E1:K1"/>
    <mergeCell ref="E2:K2"/>
    <mergeCell ref="D205:K205"/>
    <mergeCell ref="D204:K204"/>
    <mergeCell ref="D203:K203"/>
    <mergeCell ref="E3:K3"/>
  </mergeCells>
  <phoneticPr fontId="4" type="noConversion"/>
  <conditionalFormatting sqref="E13:J13">
    <cfRule type="expression" dxfId="20" priority="1" stopIfTrue="1">
      <formula>OR(E$16&lt;&gt;0,E$17&lt;&gt;0)</formula>
    </cfRule>
  </conditionalFormatting>
  <conditionalFormatting sqref="K13">
    <cfRule type="expression" dxfId="19" priority="2" stopIfTrue="1">
      <formula>AND(OR(K$16&lt;&gt;0,K$17&lt;&gt;0),K13=0)</formula>
    </cfRule>
  </conditionalFormatting>
  <conditionalFormatting sqref="E17:J17 F14:J15 E14">
    <cfRule type="expression" dxfId="18" priority="3" stopIfTrue="1">
      <formula>E$13&lt;&gt;0</formula>
    </cfRule>
  </conditionalFormatting>
  <conditionalFormatting sqref="K17 K14:K15">
    <cfRule type="expression" dxfId="17" priority="4" stopIfTrue="1">
      <formula>AND(K$13&lt;&gt;0,K14=0)</formula>
    </cfRule>
  </conditionalFormatting>
  <conditionalFormatting sqref="E15">
    <cfRule type="expression" dxfId="16" priority="5" stopIfTrue="1">
      <formula>E$13&lt;&gt;0</formula>
    </cfRule>
  </conditionalFormatting>
  <dataValidations count="2">
    <dataValidation allowBlank="1" showInputMessage="1" showErrorMessage="1" promptTitle="אגרת מים וביוב:" prompt="למילוי כאשר לא קיים פירוט בין אגרת מים וביוב" sqref="E13:J13"/>
    <dataValidation allowBlank="1" showErrorMessage="1" sqref="E14:J15"/>
  </dataValidations>
  <hyperlinks>
    <hyperlink ref="A4" location="'תוכן הענינים'!A1" tooltip="לחץ להצגת גליון תוכן הענינים" display="הצג תוכן ענינים"/>
  </hyperlinks>
  <printOptions horizontalCentered="1"/>
  <pageMargins left="0.5" right="0.25" top="0.49" bottom="0.53" header="0.25" footer="0.31"/>
  <pageSetup paperSize="9" scale="93" orientation="landscape" blackAndWhite="1" horizontalDpi="300" verticalDpi="300" r:id="rId1"/>
  <headerFooter alignWithMargins="0">
    <oddHeader>&amp;L&amp;8&amp;A</oddHeader>
    <oddFooter>&amp;C&amp;8&amp;P</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1">
    <pageSetUpPr autoPageBreaks="0"/>
  </sheetPr>
  <dimension ref="A1:M245"/>
  <sheetViews>
    <sheetView showGridLines="0" showRowColHeaders="0" showZeros="0" rightToLeft="1" showOutlineSymbols="0" zoomScale="80" zoomScaleNormal="90" zoomScaleSheetLayoutView="75" workbookViewId="0">
      <selection activeCell="A4" sqref="A4"/>
    </sheetView>
  </sheetViews>
  <sheetFormatPr defaultColWidth="9.109375" defaultRowHeight="15.6"/>
  <cols>
    <col min="1" max="1" width="9.109375" style="1186"/>
    <col min="2" max="2" width="4.6640625" style="1186" customWidth="1"/>
    <col min="3" max="3" width="33.33203125" style="1186" customWidth="1"/>
    <col min="4" max="4" width="24.88671875" style="1186" customWidth="1"/>
    <col min="5" max="5" width="12.109375" style="1186" hidden="1" customWidth="1"/>
    <col min="6" max="6" width="24.88671875" style="1186" customWidth="1"/>
    <col min="7" max="9" width="12.33203125" style="1186" hidden="1" customWidth="1"/>
    <col min="10" max="10" width="24.6640625" style="1186" customWidth="1"/>
    <col min="11" max="11" width="9.33203125" style="1186" customWidth="1"/>
    <col min="12" max="16384" width="9.109375" style="1186"/>
  </cols>
  <sheetData>
    <row r="1" spans="1:13" ht="12.75" customHeight="1">
      <c r="A1" s="1184"/>
      <c r="B1" s="1184"/>
      <c r="C1" s="1184"/>
      <c r="D1" s="3539" t="str">
        <f>'הגדרות כלליות'!D6</f>
        <v>עירית הרצליה</v>
      </c>
      <c r="E1" s="3533"/>
      <c r="F1" s="3533"/>
      <c r="G1" s="3533"/>
      <c r="H1" s="3533"/>
      <c r="I1" s="3533"/>
      <c r="J1" s="3533"/>
      <c r="K1" s="3533"/>
      <c r="L1" s="3533"/>
      <c r="M1" s="1185"/>
    </row>
    <row r="2" spans="1:13" ht="13.5" customHeight="1">
      <c r="A2" s="1184"/>
      <c r="B2" s="1184"/>
      <c r="C2" s="1184"/>
      <c r="D2" s="3533" t="str">
        <f>CONCATENATE("הדוח הכספי לשנת ",'הגדרות כלליות'!D10)</f>
        <v>הדוח הכספי לשנת 2015</v>
      </c>
      <c r="E2" s="3540"/>
      <c r="F2" s="3540"/>
      <c r="G2" s="3540"/>
      <c r="H2" s="3540"/>
      <c r="I2" s="3540"/>
      <c r="J2" s="3540"/>
      <c r="K2" s="3540"/>
      <c r="L2" s="3540"/>
      <c r="M2" s="1185"/>
    </row>
    <row r="3" spans="1:13" ht="15.75" customHeight="1">
      <c r="A3" s="1187"/>
      <c r="B3" s="1187"/>
      <c r="C3" s="1187"/>
      <c r="D3" s="3457" t="s">
        <v>814</v>
      </c>
      <c r="E3" s="3394"/>
      <c r="F3" s="3394"/>
      <c r="G3" s="3394"/>
      <c r="H3" s="3394"/>
      <c r="I3" s="3394"/>
      <c r="J3" s="3394"/>
      <c r="K3" s="3394"/>
      <c r="L3" s="3394"/>
      <c r="M3" s="1185"/>
    </row>
    <row r="4" spans="1:13" ht="14.25" customHeight="1">
      <c r="A4" s="7" t="s">
        <v>339</v>
      </c>
      <c r="B4" s="1157"/>
      <c r="C4" s="1157"/>
      <c r="D4" s="1157"/>
      <c r="E4" s="1157"/>
      <c r="F4" s="1157"/>
      <c r="G4" s="1157"/>
      <c r="H4" s="1157"/>
      <c r="I4" s="1157"/>
      <c r="J4" s="1157"/>
      <c r="K4" s="1188"/>
      <c r="L4" s="1189"/>
      <c r="M4" s="1185"/>
    </row>
    <row r="5" spans="1:13" ht="12.75" customHeight="1">
      <c r="A5" s="1077"/>
      <c r="B5" s="1079" t="s">
        <v>849</v>
      </c>
      <c r="C5" s="1080" t="s">
        <v>850</v>
      </c>
      <c r="D5" s="3541" t="s">
        <v>862</v>
      </c>
      <c r="E5" s="3542"/>
      <c r="F5" s="3541" t="s">
        <v>863</v>
      </c>
      <c r="G5" s="3542"/>
      <c r="H5" s="1190" t="s">
        <v>819</v>
      </c>
      <c r="I5" s="1190"/>
      <c r="J5" s="1190" t="s">
        <v>819</v>
      </c>
      <c r="K5" s="1102"/>
      <c r="L5" s="1189"/>
      <c r="M5" s="1185"/>
    </row>
    <row r="6" spans="1:13" ht="5.25" customHeight="1">
      <c r="A6" s="1077"/>
      <c r="B6" s="1084"/>
      <c r="C6" s="1085"/>
      <c r="D6" s="1085"/>
      <c r="E6" s="1085"/>
      <c r="F6" s="1085"/>
      <c r="G6" s="1085"/>
      <c r="H6" s="1085"/>
      <c r="I6" s="1085"/>
      <c r="J6" s="1085"/>
      <c r="K6" s="1191"/>
      <c r="L6" s="1189"/>
      <c r="M6" s="1185"/>
    </row>
    <row r="7" spans="1:13" ht="12.75" customHeight="1">
      <c r="A7" s="1077"/>
      <c r="B7" s="1016" t="s">
        <v>826</v>
      </c>
      <c r="C7" s="1087" t="s">
        <v>827</v>
      </c>
      <c r="D7" s="1085"/>
      <c r="E7" s="1085"/>
      <c r="F7" s="1085"/>
      <c r="G7" s="1085"/>
      <c r="H7" s="1085"/>
      <c r="I7" s="1085"/>
      <c r="J7" s="1086"/>
      <c r="K7" s="1191"/>
      <c r="L7" s="1189"/>
      <c r="M7" s="1185"/>
    </row>
    <row r="8" spans="1:13" ht="13.5" customHeight="1">
      <c r="A8" s="1077"/>
      <c r="B8" s="1016">
        <v>1</v>
      </c>
      <c r="C8" s="2607" t="s">
        <v>1435</v>
      </c>
      <c r="D8" s="1085"/>
      <c r="E8" s="1085"/>
      <c r="F8" s="1085"/>
      <c r="G8" s="1085"/>
      <c r="H8" s="1085"/>
      <c r="I8" s="1085"/>
      <c r="J8" s="1086"/>
      <c r="K8" s="1191"/>
      <c r="L8" s="1189"/>
      <c r="M8" s="1185"/>
    </row>
    <row r="9" spans="1:13" ht="14.85" customHeight="1">
      <c r="A9" s="1077"/>
      <c r="B9" s="2608" t="s">
        <v>34</v>
      </c>
      <c r="C9" s="1088" t="s">
        <v>32</v>
      </c>
      <c r="D9" s="1089">
        <v>171272</v>
      </c>
      <c r="E9" s="1090"/>
      <c r="F9" s="1090">
        <v>13355</v>
      </c>
      <c r="G9" s="1090"/>
      <c r="H9" s="1192"/>
      <c r="I9" s="1192"/>
      <c r="J9" s="1091">
        <f>D9+F9</f>
        <v>184627</v>
      </c>
      <c r="K9" s="1191"/>
      <c r="L9" s="1189"/>
      <c r="M9" s="1185"/>
    </row>
    <row r="10" spans="1:13" ht="14.85" customHeight="1">
      <c r="A10" s="1077"/>
      <c r="B10" s="2608" t="s">
        <v>35</v>
      </c>
      <c r="C10" s="1088" t="s">
        <v>30</v>
      </c>
      <c r="D10" s="1092">
        <v>264940</v>
      </c>
      <c r="E10" s="1093"/>
      <c r="F10" s="1093">
        <v>42410</v>
      </c>
      <c r="G10" s="1093"/>
      <c r="H10" s="1193"/>
      <c r="I10" s="1193"/>
      <c r="J10" s="1094">
        <f>D10+F10</f>
        <v>307350</v>
      </c>
      <c r="K10" s="1191"/>
      <c r="L10" s="1189"/>
      <c r="M10" s="1185"/>
    </row>
    <row r="11" spans="1:13" ht="14.85" customHeight="1">
      <c r="A11" s="1077"/>
      <c r="B11" s="2608" t="s">
        <v>40</v>
      </c>
      <c r="C11" s="1088" t="s">
        <v>43</v>
      </c>
      <c r="D11" s="2602"/>
      <c r="E11" s="2602"/>
      <c r="F11" s="2602"/>
      <c r="G11" s="2602"/>
      <c r="H11" s="2886"/>
      <c r="I11" s="2886"/>
      <c r="J11" s="2879">
        <f>D11+F11</f>
        <v>0</v>
      </c>
      <c r="K11" s="1191"/>
      <c r="L11" s="1189"/>
      <c r="M11" s="1185"/>
    </row>
    <row r="12" spans="1:13" ht="14.85" customHeight="1">
      <c r="A12" s="1077"/>
      <c r="B12" s="2608"/>
      <c r="C12" s="1088" t="s">
        <v>31</v>
      </c>
      <c r="D12" s="1112">
        <f>SUM(D9:E11)</f>
        <v>436212</v>
      </c>
      <c r="E12" s="1112">
        <f>SUM(E9:E11)</f>
        <v>0</v>
      </c>
      <c r="F12" s="1112">
        <f>SUM(F9:F11)</f>
        <v>55765</v>
      </c>
      <c r="G12" s="1112"/>
      <c r="H12" s="1112"/>
      <c r="I12" s="1112"/>
      <c r="J12" s="1114">
        <f>SUM(J9:J11)</f>
        <v>491977</v>
      </c>
      <c r="K12" s="1191"/>
      <c r="L12" s="1189"/>
      <c r="M12" s="1185"/>
    </row>
    <row r="13" spans="1:13" ht="14.85" customHeight="1">
      <c r="A13" s="1077"/>
      <c r="B13" s="2616" t="s">
        <v>913</v>
      </c>
      <c r="C13" s="2607" t="s">
        <v>33</v>
      </c>
      <c r="D13" s="2610"/>
      <c r="E13" s="2610"/>
      <c r="F13" s="2610"/>
      <c r="G13" s="2610"/>
      <c r="H13" s="1192"/>
      <c r="I13" s="1192"/>
      <c r="J13" s="2882">
        <f t="shared" ref="J13:J19" si="0">D13+F13</f>
        <v>0</v>
      </c>
      <c r="K13" s="1191"/>
      <c r="L13" s="1189"/>
      <c r="M13" s="1185"/>
    </row>
    <row r="14" spans="1:13" ht="14.85" customHeight="1">
      <c r="A14" s="1077"/>
      <c r="B14" s="2887" t="s">
        <v>1075</v>
      </c>
      <c r="C14" s="2881" t="s">
        <v>37</v>
      </c>
      <c r="D14" s="2877"/>
      <c r="E14" s="2877"/>
      <c r="F14" s="2877">
        <v>832</v>
      </c>
      <c r="G14" s="2877"/>
      <c r="H14" s="1192"/>
      <c r="I14" s="1192"/>
      <c r="J14" s="2883">
        <f t="shared" si="0"/>
        <v>832</v>
      </c>
      <c r="K14" s="1191"/>
      <c r="L14" s="1189"/>
      <c r="M14" s="1185"/>
    </row>
    <row r="15" spans="1:13" ht="14.85" customHeight="1">
      <c r="A15" s="1077"/>
      <c r="B15" s="2887" t="s">
        <v>44</v>
      </c>
      <c r="C15" s="2881" t="s">
        <v>38</v>
      </c>
      <c r="D15" s="2877"/>
      <c r="E15" s="2877"/>
      <c r="F15" s="2877"/>
      <c r="G15" s="2877"/>
      <c r="H15" s="1192"/>
      <c r="I15" s="1192"/>
      <c r="J15" s="2883">
        <f t="shared" si="0"/>
        <v>0</v>
      </c>
      <c r="K15" s="1191"/>
      <c r="L15" s="1189"/>
      <c r="M15" s="1185"/>
    </row>
    <row r="16" spans="1:13" ht="14.85" customHeight="1">
      <c r="A16" s="1077"/>
      <c r="B16" s="2608"/>
      <c r="C16" s="1088" t="s">
        <v>39</v>
      </c>
      <c r="D16" s="1112">
        <f>SUM(D14:D15)</f>
        <v>0</v>
      </c>
      <c r="E16" s="1112">
        <f>SUM(E14:E15)</f>
        <v>0</v>
      </c>
      <c r="F16" s="1112">
        <f>SUM(F14:F15)</f>
        <v>832</v>
      </c>
      <c r="G16" s="1112"/>
      <c r="H16" s="1112"/>
      <c r="I16" s="1112"/>
      <c r="J16" s="2885">
        <f t="shared" si="0"/>
        <v>832</v>
      </c>
      <c r="K16" s="1191"/>
      <c r="L16" s="1189"/>
      <c r="M16" s="1185"/>
    </row>
    <row r="17" spans="1:13" ht="14.85" customHeight="1">
      <c r="A17" s="1077"/>
      <c r="B17" s="2608" t="s">
        <v>41</v>
      </c>
      <c r="C17" s="1088" t="s">
        <v>828</v>
      </c>
      <c r="D17" s="2877"/>
      <c r="E17" s="2877"/>
      <c r="F17" s="2877">
        <v>49</v>
      </c>
      <c r="G17" s="2877"/>
      <c r="H17" s="1192"/>
      <c r="I17" s="1192"/>
      <c r="J17" s="2883">
        <f t="shared" si="0"/>
        <v>49</v>
      </c>
      <c r="K17" s="1191"/>
      <c r="L17" s="1189"/>
      <c r="M17" s="1185"/>
    </row>
    <row r="18" spans="1:13" ht="14.85" customHeight="1">
      <c r="A18" s="1077"/>
      <c r="B18" s="2888">
        <v>3</v>
      </c>
      <c r="C18" s="1088" t="str">
        <f>'נספח 2 לטופס 1'!C21</f>
        <v>חובות מסופקים וחובות גביה ביוב</v>
      </c>
      <c r="D18" s="1095"/>
      <c r="E18" s="1096"/>
      <c r="F18" s="1096"/>
      <c r="G18" s="1096"/>
      <c r="H18" s="1194"/>
      <c r="I18" s="1194"/>
      <c r="J18" s="1097">
        <f t="shared" si="0"/>
        <v>0</v>
      </c>
      <c r="K18" s="1191"/>
      <c r="L18" s="1189"/>
      <c r="M18" s="1185"/>
    </row>
    <row r="19" spans="1:13" ht="14.85" customHeight="1">
      <c r="A19" s="1077"/>
      <c r="B19" s="2888">
        <v>4</v>
      </c>
      <c r="C19" s="2603" t="s">
        <v>42</v>
      </c>
      <c r="D19" s="1095"/>
      <c r="E19" s="1096"/>
      <c r="F19" s="1096"/>
      <c r="G19" s="1096"/>
      <c r="H19" s="1194"/>
      <c r="I19" s="1194"/>
      <c r="J19" s="1097">
        <f t="shared" si="0"/>
        <v>0</v>
      </c>
      <c r="K19" s="1191"/>
      <c r="L19" s="1189"/>
      <c r="M19" s="1185"/>
    </row>
    <row r="20" spans="1:13" ht="14.85" customHeight="1">
      <c r="A20" s="1077"/>
      <c r="B20" s="1084"/>
      <c r="C20" s="1088" t="s">
        <v>829</v>
      </c>
      <c r="D20" s="1099">
        <f>D12+D13+D16+D17+D18+D19</f>
        <v>436212</v>
      </c>
      <c r="E20" s="1099">
        <f t="shared" ref="E20:J20" si="1">E12+E13+E16+E17+E18+E19</f>
        <v>0</v>
      </c>
      <c r="F20" s="1099">
        <f t="shared" si="1"/>
        <v>56646</v>
      </c>
      <c r="G20" s="1099"/>
      <c r="H20" s="1099"/>
      <c r="I20" s="1099"/>
      <c r="J20" s="1114">
        <f t="shared" si="1"/>
        <v>492858</v>
      </c>
      <c r="K20" s="1191"/>
      <c r="L20" s="1189"/>
      <c r="M20" s="1185"/>
    </row>
    <row r="21" spans="1:13" ht="3" customHeight="1">
      <c r="A21" s="1077"/>
      <c r="B21" s="1084"/>
      <c r="C21" s="1088"/>
      <c r="D21" s="1165"/>
      <c r="E21" s="1165"/>
      <c r="F21" s="1165"/>
      <c r="G21" s="1165"/>
      <c r="H21" s="1165"/>
      <c r="I21" s="1165"/>
      <c r="J21" s="1166"/>
      <c r="K21" s="1191"/>
      <c r="L21" s="1189"/>
      <c r="M21" s="1185"/>
    </row>
    <row r="22" spans="1:13" ht="11.25" customHeight="1">
      <c r="A22" s="1077"/>
      <c r="B22" s="1016" t="s">
        <v>830</v>
      </c>
      <c r="C22" s="1087" t="s">
        <v>831</v>
      </c>
      <c r="D22" s="1165"/>
      <c r="E22" s="1165"/>
      <c r="F22" s="1165"/>
      <c r="G22" s="1165"/>
      <c r="H22" s="1165"/>
      <c r="I22" s="1165"/>
      <c r="J22" s="1166"/>
      <c r="K22" s="1191"/>
      <c r="L22" s="1189"/>
      <c r="M22" s="1185"/>
    </row>
    <row r="23" spans="1:13" ht="14.85" customHeight="1">
      <c r="A23" s="1077"/>
      <c r="B23" s="1084">
        <v>1</v>
      </c>
      <c r="C23" s="1109" t="s">
        <v>832</v>
      </c>
      <c r="D23" s="1089">
        <v>30511</v>
      </c>
      <c r="E23" s="1090"/>
      <c r="F23" s="1090"/>
      <c r="G23" s="1090"/>
      <c r="H23" s="1192"/>
      <c r="I23" s="1192"/>
      <c r="J23" s="1091">
        <f>D23+F23</f>
        <v>30511</v>
      </c>
      <c r="K23" s="1191"/>
      <c r="L23" s="1189"/>
      <c r="M23" s="1185"/>
    </row>
    <row r="24" spans="1:13" ht="14.85" customHeight="1">
      <c r="A24" s="1077"/>
      <c r="B24" s="1084">
        <v>2</v>
      </c>
      <c r="C24" s="1109" t="s">
        <v>833</v>
      </c>
      <c r="D24" s="1092">
        <v>4527</v>
      </c>
      <c r="E24" s="1093"/>
      <c r="F24" s="1093"/>
      <c r="G24" s="1093"/>
      <c r="H24" s="1193"/>
      <c r="I24" s="1193"/>
      <c r="J24" s="1094">
        <f t="shared" ref="J24:J39" si="2">D24+F24</f>
        <v>4527</v>
      </c>
      <c r="K24" s="1191"/>
      <c r="L24" s="1189"/>
      <c r="M24" s="1185"/>
    </row>
    <row r="25" spans="1:13" ht="14.85" customHeight="1">
      <c r="A25" s="1077"/>
      <c r="B25" s="1084">
        <v>3</v>
      </c>
      <c r="C25" s="1109" t="s">
        <v>834</v>
      </c>
      <c r="D25" s="1089">
        <v>589</v>
      </c>
      <c r="E25" s="1090"/>
      <c r="F25" s="1090"/>
      <c r="G25" s="1093"/>
      <c r="H25" s="1193"/>
      <c r="I25" s="1193"/>
      <c r="J25" s="1094">
        <f t="shared" si="2"/>
        <v>589</v>
      </c>
      <c r="K25" s="1191"/>
      <c r="L25" s="1189"/>
      <c r="M25" s="1185"/>
    </row>
    <row r="26" spans="1:13" ht="14.85" customHeight="1">
      <c r="A26" s="1077"/>
      <c r="B26" s="1084">
        <v>4</v>
      </c>
      <c r="C26" s="1109" t="s">
        <v>835</v>
      </c>
      <c r="D26" s="1092">
        <v>225</v>
      </c>
      <c r="E26" s="1093"/>
      <c r="F26" s="1093"/>
      <c r="G26" s="1093"/>
      <c r="H26" s="1193"/>
      <c r="I26" s="1193"/>
      <c r="J26" s="1094">
        <f t="shared" si="2"/>
        <v>225</v>
      </c>
      <c r="K26" s="1191"/>
      <c r="L26" s="1189"/>
      <c r="M26" s="1185"/>
    </row>
    <row r="27" spans="1:13" ht="14.85" customHeight="1">
      <c r="A27" s="1077"/>
      <c r="B27" s="1084">
        <v>5</v>
      </c>
      <c r="C27" s="1109" t="s">
        <v>836</v>
      </c>
      <c r="D27" s="1089"/>
      <c r="E27" s="1090"/>
      <c r="F27" s="1090"/>
      <c r="G27" s="1093"/>
      <c r="H27" s="1193"/>
      <c r="I27" s="1193"/>
      <c r="J27" s="1094">
        <f t="shared" si="2"/>
        <v>0</v>
      </c>
      <c r="K27" s="1191"/>
      <c r="L27" s="1189"/>
      <c r="M27" s="1185"/>
    </row>
    <row r="28" spans="1:13" ht="14.85" customHeight="1">
      <c r="A28" s="1077"/>
      <c r="B28" s="1084">
        <v>6</v>
      </c>
      <c r="C28" s="1109" t="s">
        <v>837</v>
      </c>
      <c r="D28" s="1092"/>
      <c r="E28" s="1093"/>
      <c r="F28" s="1093"/>
      <c r="G28" s="1093"/>
      <c r="H28" s="1193"/>
      <c r="I28" s="1193"/>
      <c r="J28" s="1094">
        <f t="shared" si="2"/>
        <v>0</v>
      </c>
      <c r="K28" s="1191"/>
      <c r="L28" s="1189"/>
      <c r="M28" s="1185"/>
    </row>
    <row r="29" spans="1:13" ht="14.85" customHeight="1">
      <c r="A29" s="1077"/>
      <c r="B29" s="1084">
        <v>7</v>
      </c>
      <c r="C29" s="1109" t="s">
        <v>838</v>
      </c>
      <c r="D29" s="1089"/>
      <c r="E29" s="1090"/>
      <c r="F29" s="1090"/>
      <c r="G29" s="1093"/>
      <c r="H29" s="1193"/>
      <c r="I29" s="1193"/>
      <c r="J29" s="1094">
        <f t="shared" si="2"/>
        <v>0</v>
      </c>
      <c r="K29" s="1191"/>
      <c r="L29" s="1189"/>
      <c r="M29" s="1185"/>
    </row>
    <row r="30" spans="1:13" ht="14.85" customHeight="1">
      <c r="A30" s="1077"/>
      <c r="B30" s="1084">
        <v>8</v>
      </c>
      <c r="C30" s="1109" t="s">
        <v>839</v>
      </c>
      <c r="D30" s="1092">
        <v>172102</v>
      </c>
      <c r="E30" s="1093"/>
      <c r="F30" s="1093"/>
      <c r="G30" s="1093"/>
      <c r="H30" s="1193"/>
      <c r="I30" s="1193"/>
      <c r="J30" s="1094">
        <f t="shared" si="2"/>
        <v>172102</v>
      </c>
      <c r="K30" s="1191"/>
      <c r="L30" s="1189"/>
      <c r="M30" s="1185"/>
    </row>
    <row r="31" spans="1:13" ht="14.85" customHeight="1">
      <c r="A31" s="1077"/>
      <c r="B31" s="1084">
        <v>9</v>
      </c>
      <c r="C31" s="1109" t="s">
        <v>840</v>
      </c>
      <c r="D31" s="1089">
        <v>45119</v>
      </c>
      <c r="E31" s="1090"/>
      <c r="F31" s="1090"/>
      <c r="G31" s="1093"/>
      <c r="H31" s="1193"/>
      <c r="I31" s="1193"/>
      <c r="J31" s="1094">
        <f t="shared" si="2"/>
        <v>45119</v>
      </c>
      <c r="K31" s="1191"/>
      <c r="L31" s="1189"/>
      <c r="M31" s="1185"/>
    </row>
    <row r="32" spans="1:13" ht="14.85" customHeight="1">
      <c r="A32" s="1077"/>
      <c r="B32" s="1084">
        <v>10</v>
      </c>
      <c r="C32" s="1109" t="s">
        <v>841</v>
      </c>
      <c r="D32" s="1092">
        <v>12498</v>
      </c>
      <c r="E32" s="1093"/>
      <c r="F32" s="1093"/>
      <c r="G32" s="1093"/>
      <c r="H32" s="1193"/>
      <c r="I32" s="1193"/>
      <c r="J32" s="1094">
        <f t="shared" si="2"/>
        <v>12498</v>
      </c>
      <c r="K32" s="1191"/>
      <c r="L32" s="1189"/>
      <c r="M32" s="1185"/>
    </row>
    <row r="33" spans="1:13" ht="14.85" customHeight="1">
      <c r="A33" s="1077"/>
      <c r="B33" s="1084">
        <v>11</v>
      </c>
      <c r="C33" s="1109" t="s">
        <v>842</v>
      </c>
      <c r="D33" s="1089">
        <v>173</v>
      </c>
      <c r="E33" s="1090"/>
      <c r="F33" s="1090"/>
      <c r="G33" s="1093"/>
      <c r="H33" s="1193"/>
      <c r="I33" s="1193"/>
      <c r="J33" s="1094">
        <f t="shared" si="2"/>
        <v>173</v>
      </c>
      <c r="K33" s="1191"/>
      <c r="L33" s="1189"/>
      <c r="M33" s="1185"/>
    </row>
    <row r="34" spans="1:13" ht="14.85" customHeight="1">
      <c r="A34" s="1077"/>
      <c r="B34" s="1084">
        <v>12</v>
      </c>
      <c r="C34" s="1109" t="s">
        <v>843</v>
      </c>
      <c r="D34" s="1092"/>
      <c r="E34" s="1093"/>
      <c r="F34" s="1093"/>
      <c r="G34" s="1093"/>
      <c r="H34" s="1193"/>
      <c r="I34" s="1193"/>
      <c r="J34" s="1094">
        <f t="shared" si="2"/>
        <v>0</v>
      </c>
      <c r="K34" s="1191"/>
      <c r="L34" s="1189"/>
      <c r="M34" s="1185"/>
    </row>
    <row r="35" spans="1:13" ht="14.85" customHeight="1">
      <c r="A35" s="1077"/>
      <c r="B35" s="1084">
        <v>13</v>
      </c>
      <c r="C35" s="1109" t="s">
        <v>489</v>
      </c>
      <c r="D35" s="1089"/>
      <c r="E35" s="1090"/>
      <c r="F35" s="1090"/>
      <c r="G35" s="1093"/>
      <c r="H35" s="1193"/>
      <c r="I35" s="1193"/>
      <c r="J35" s="1094">
        <f t="shared" si="2"/>
        <v>0</v>
      </c>
      <c r="K35" s="1191"/>
      <c r="L35" s="1189"/>
      <c r="M35" s="1185"/>
    </row>
    <row r="36" spans="1:13" ht="14.85" customHeight="1">
      <c r="A36" s="1077"/>
      <c r="B36" s="1084">
        <v>14</v>
      </c>
      <c r="C36" s="1109" t="str">
        <f>'נספח 2 לטופס 1'!C39</f>
        <v xml:space="preserve">שיקים שחזרו וחובות בהסדר </v>
      </c>
      <c r="D36" s="1092">
        <v>485</v>
      </c>
      <c r="E36" s="1093"/>
      <c r="F36" s="1093"/>
      <c r="G36" s="1093"/>
      <c r="H36" s="1193"/>
      <c r="I36" s="1193"/>
      <c r="J36" s="1094">
        <f t="shared" si="2"/>
        <v>485</v>
      </c>
      <c r="K36" s="1191"/>
      <c r="L36" s="1189"/>
      <c r="M36" s="1185"/>
    </row>
    <row r="37" spans="1:13" ht="14.85" customHeight="1">
      <c r="A37" s="1077"/>
      <c r="B37" s="1084">
        <v>15</v>
      </c>
      <c r="C37" s="1109" t="str">
        <f>'נספח 2 לטופס 1'!C40</f>
        <v xml:space="preserve">אחרים </v>
      </c>
      <c r="D37" s="1089">
        <v>9340</v>
      </c>
      <c r="E37" s="1090"/>
      <c r="F37" s="1090"/>
      <c r="G37" s="1096"/>
      <c r="H37" s="1194"/>
      <c r="I37" s="1193"/>
      <c r="J37" s="1097">
        <f t="shared" si="2"/>
        <v>9340</v>
      </c>
      <c r="K37" s="1191"/>
      <c r="L37" s="1189"/>
      <c r="M37" s="1185"/>
    </row>
    <row r="38" spans="1:13" ht="14.85" customHeight="1">
      <c r="A38" s="1077"/>
      <c r="B38" s="1084">
        <v>16</v>
      </c>
      <c r="C38" s="2603" t="str">
        <f>'נספח 2 לטופס 1'!C41</f>
        <v>היטל צריכה עודפת</v>
      </c>
      <c r="D38" s="1092">
        <v>1</v>
      </c>
      <c r="E38" s="1093"/>
      <c r="F38" s="1093"/>
      <c r="G38" s="1096"/>
      <c r="H38" s="1194"/>
      <c r="I38" s="1193"/>
      <c r="J38" s="1094">
        <f t="shared" si="2"/>
        <v>1</v>
      </c>
      <c r="K38" s="1191"/>
      <c r="L38" s="1189"/>
      <c r="M38" s="1185"/>
    </row>
    <row r="39" spans="1:13" ht="14.85" customHeight="1">
      <c r="A39" s="1077"/>
      <c r="B39" s="1084">
        <v>17</v>
      </c>
      <c r="C39" s="2603" t="str">
        <f>'נספח 2 לטופס 1'!C42</f>
        <v>חובות מסופקים וחובות למחיקה</v>
      </c>
      <c r="D39" s="1089"/>
      <c r="E39" s="1090"/>
      <c r="F39" s="1090"/>
      <c r="G39" s="1096"/>
      <c r="H39" s="1194"/>
      <c r="I39" s="1194"/>
      <c r="J39" s="2606">
        <f t="shared" si="2"/>
        <v>0</v>
      </c>
      <c r="K39" s="1191"/>
      <c r="L39" s="1189"/>
      <c r="M39" s="1185"/>
    </row>
    <row r="40" spans="1:13" ht="14.85" customHeight="1">
      <c r="A40" s="1077"/>
      <c r="B40" s="1084"/>
      <c r="C40" s="1088" t="s">
        <v>844</v>
      </c>
      <c r="D40" s="1099">
        <f>SUM(D23:D39)</f>
        <v>275570</v>
      </c>
      <c r="E40" s="1100">
        <f>SUM(E23:E39)</f>
        <v>0</v>
      </c>
      <c r="F40" s="1100">
        <f>SUM(F23:F39)</f>
        <v>0</v>
      </c>
      <c r="G40" s="1100"/>
      <c r="H40" s="1100"/>
      <c r="I40" s="1100"/>
      <c r="J40" s="1114">
        <f>SUM(J23:J39)</f>
        <v>275570</v>
      </c>
      <c r="K40" s="1191"/>
      <c r="L40" s="1189"/>
      <c r="M40" s="1185"/>
    </row>
    <row r="41" spans="1:13" ht="4.5" customHeight="1">
      <c r="A41" s="1077"/>
      <c r="B41" s="1084"/>
      <c r="C41" s="1088"/>
      <c r="D41" s="1195"/>
      <c r="E41" s="1195"/>
      <c r="F41" s="1195"/>
      <c r="G41" s="1195"/>
      <c r="H41" s="1195"/>
      <c r="I41" s="1195"/>
      <c r="J41" s="1196"/>
      <c r="K41" s="1191"/>
      <c r="L41" s="1189"/>
      <c r="M41" s="1185"/>
    </row>
    <row r="42" spans="1:13" ht="14.85" customHeight="1" thickBot="1">
      <c r="A42" s="1077"/>
      <c r="B42" s="1084"/>
      <c r="C42" s="1117" t="s">
        <v>782</v>
      </c>
      <c r="D42" s="1197">
        <f t="shared" ref="D42:J42" si="3">D40+D20</f>
        <v>711782</v>
      </c>
      <c r="E42" s="1198">
        <f t="shared" si="3"/>
        <v>0</v>
      </c>
      <c r="F42" s="1198">
        <f t="shared" si="3"/>
        <v>56646</v>
      </c>
      <c r="G42" s="1198"/>
      <c r="H42" s="1198"/>
      <c r="I42" s="1198"/>
      <c r="J42" s="1199">
        <f t="shared" si="3"/>
        <v>768428</v>
      </c>
      <c r="K42" s="1191"/>
      <c r="L42" s="1189"/>
      <c r="M42" s="1185"/>
    </row>
    <row r="43" spans="1:13" ht="14.85" customHeight="1" thickTop="1" thickBot="1">
      <c r="A43" s="1077"/>
      <c r="B43" s="1084"/>
      <c r="C43" s="1002" t="s">
        <v>350</v>
      </c>
      <c r="D43" s="1117"/>
      <c r="E43" s="1117"/>
      <c r="F43" s="1117"/>
      <c r="G43" s="2940"/>
      <c r="H43" s="2940"/>
      <c r="I43" s="2940"/>
      <c r="J43" s="1166"/>
      <c r="K43" s="1191"/>
      <c r="L43" s="1189"/>
      <c r="M43" s="1185"/>
    </row>
    <row r="44" spans="1:13" ht="5.25" customHeight="1" thickTop="1">
      <c r="A44" s="1077"/>
      <c r="B44" s="1168"/>
      <c r="C44" s="1170"/>
      <c r="D44" s="1170"/>
      <c r="E44" s="1170"/>
      <c r="F44" s="1170"/>
      <c r="G44" s="1200"/>
      <c r="H44" s="1200"/>
      <c r="I44" s="1200"/>
      <c r="J44" s="1171"/>
      <c r="K44" s="1191"/>
      <c r="L44" s="1189"/>
      <c r="M44" s="1185"/>
    </row>
    <row r="45" spans="1:13">
      <c r="A45" s="1077"/>
      <c r="B45" s="1077"/>
      <c r="C45" s="1077"/>
      <c r="D45" s="1077"/>
      <c r="E45" s="1077"/>
      <c r="F45" s="1077"/>
      <c r="G45" s="1077"/>
      <c r="H45" s="1077"/>
      <c r="I45" s="1077"/>
      <c r="J45" s="1077"/>
      <c r="K45" s="1077"/>
      <c r="L45" s="1189"/>
      <c r="M45" s="1185"/>
    </row>
    <row r="46" spans="1:13" ht="16.2" thickBot="1">
      <c r="A46" s="1189"/>
      <c r="B46" s="1189"/>
      <c r="C46" s="1189"/>
      <c r="D46" s="1189"/>
      <c r="E46" s="1189"/>
      <c r="F46" s="1189"/>
      <c r="G46" s="1189"/>
      <c r="H46" s="1189"/>
      <c r="I46" s="1189"/>
      <c r="J46" s="1189"/>
      <c r="K46" s="1189"/>
      <c r="L46" s="1189"/>
      <c r="M46" s="1185"/>
    </row>
    <row r="47" spans="1:13" ht="16.2" thickTop="1">
      <c r="A47" s="1201"/>
      <c r="B47" s="1201"/>
      <c r="C47" s="1201"/>
      <c r="D47" s="1201"/>
      <c r="E47" s="1201"/>
      <c r="F47" s="1201"/>
      <c r="G47" s="1201"/>
      <c r="H47" s="1201"/>
      <c r="I47" s="1201"/>
      <c r="J47" s="1201"/>
      <c r="K47" s="1201"/>
      <c r="L47" s="1201"/>
    </row>
    <row r="203" spans="2:10">
      <c r="B203" s="3538" t="str">
        <f>D1</f>
        <v>עירית הרצליה</v>
      </c>
      <c r="C203" s="3538"/>
      <c r="D203" s="3538"/>
      <c r="E203" s="3538"/>
      <c r="F203" s="3538"/>
      <c r="G203" s="3538"/>
      <c r="H203" s="3538"/>
      <c r="I203" s="3538"/>
      <c r="J203" s="3538"/>
    </row>
    <row r="204" spans="2:10">
      <c r="B204" s="3538" t="str">
        <f>D2</f>
        <v>הדוח הכספי לשנת 2015</v>
      </c>
      <c r="C204" s="3538"/>
      <c r="D204" s="3538"/>
      <c r="E204" s="3538"/>
      <c r="F204" s="3538"/>
      <c r="G204" s="3538"/>
      <c r="H204" s="3538"/>
      <c r="I204" s="3538"/>
      <c r="J204" s="3538"/>
    </row>
    <row r="205" spans="2:10">
      <c r="B205" s="3525" t="str">
        <f>D3</f>
        <v>מצב חשבון החייבים בעד ארנונות, הטלים והשתתפויות לפי נתוני אגף הגביה (אלפי ש"ח)</v>
      </c>
      <c r="C205" s="3525"/>
      <c r="D205" s="3525"/>
      <c r="E205" s="3525"/>
      <c r="F205" s="3525"/>
      <c r="G205" s="3525"/>
      <c r="H205" s="3525"/>
      <c r="I205" s="3525"/>
      <c r="J205" s="3525"/>
    </row>
    <row r="206" spans="2:10" ht="7.5" customHeight="1"/>
    <row r="207" spans="2:10" ht="17.25" customHeight="1">
      <c r="B207" s="1202" t="str">
        <f>B5</f>
        <v>מס.</v>
      </c>
      <c r="C207" s="1202" t="str">
        <f>C5</f>
        <v>שם החשבון</v>
      </c>
      <c r="D207" s="1202" t="str">
        <f>D5</f>
        <v>גביה השנה</v>
      </c>
      <c r="E207" s="1203"/>
      <c r="F207" s="1202" t="str">
        <f>F5</f>
        <v>גבית פיגורים</v>
      </c>
      <c r="G207" s="1203"/>
      <c r="H207" s="1202"/>
      <c r="I207" s="1204"/>
      <c r="J207" s="2939" t="str">
        <f>J5</f>
        <v>סה"כ גביות בשנת הדוח</v>
      </c>
    </row>
    <row r="208" spans="2:10" s="1205" customFormat="1" ht="4.5" customHeight="1">
      <c r="B208" s="1130">
        <f t="shared" ref="B208:C210" si="4">B6</f>
        <v>0</v>
      </c>
      <c r="C208" s="1179">
        <f t="shared" si="4"/>
        <v>0</v>
      </c>
      <c r="D208" s="1131">
        <f t="shared" ref="D208:F211" si="5">D6</f>
        <v>0</v>
      </c>
      <c r="E208" s="1131">
        <f t="shared" si="5"/>
        <v>0</v>
      </c>
      <c r="F208" s="1131">
        <f t="shared" si="5"/>
        <v>0</v>
      </c>
      <c r="G208" s="1131">
        <f t="shared" ref="G208:J211" si="6">G6</f>
        <v>0</v>
      </c>
      <c r="H208" s="1131">
        <f t="shared" si="6"/>
        <v>0</v>
      </c>
      <c r="I208" s="1131">
        <f t="shared" si="6"/>
        <v>0</v>
      </c>
      <c r="J208" s="1175">
        <f t="shared" si="6"/>
        <v>0</v>
      </c>
    </row>
    <row r="209" spans="2:10" s="1205" customFormat="1" ht="14.85" customHeight="1">
      <c r="B209" s="1134" t="str">
        <f t="shared" si="4"/>
        <v xml:space="preserve">א. </v>
      </c>
      <c r="C209" s="1206" t="str">
        <f t="shared" si="4"/>
        <v>חשבונות על בסיס חיוב שנתי</v>
      </c>
      <c r="D209" s="1131">
        <f t="shared" si="5"/>
        <v>0</v>
      </c>
      <c r="E209" s="1131">
        <f t="shared" si="5"/>
        <v>0</v>
      </c>
      <c r="F209" s="1131">
        <f t="shared" si="5"/>
        <v>0</v>
      </c>
      <c r="G209" s="1131">
        <f t="shared" si="6"/>
        <v>0</v>
      </c>
      <c r="H209" s="1131">
        <f t="shared" si="6"/>
        <v>0</v>
      </c>
      <c r="I209" s="1131">
        <f t="shared" si="6"/>
        <v>0</v>
      </c>
      <c r="J209" s="1175">
        <f t="shared" si="6"/>
        <v>0</v>
      </c>
    </row>
    <row r="210" spans="2:10" s="1205" customFormat="1" ht="14.25" customHeight="1">
      <c r="B210" s="1134">
        <f t="shared" si="4"/>
        <v>1</v>
      </c>
      <c r="C210" s="2617" t="str">
        <f t="shared" si="4"/>
        <v>ארנונה</v>
      </c>
      <c r="D210" s="1136">
        <f t="shared" si="5"/>
        <v>0</v>
      </c>
      <c r="E210" s="1136">
        <f t="shared" si="5"/>
        <v>0</v>
      </c>
      <c r="F210" s="1136">
        <f t="shared" si="5"/>
        <v>0</v>
      </c>
      <c r="G210" s="1136">
        <f t="shared" si="6"/>
        <v>0</v>
      </c>
      <c r="H210" s="1136">
        <f t="shared" si="6"/>
        <v>0</v>
      </c>
      <c r="I210" s="1136">
        <f t="shared" si="6"/>
        <v>0</v>
      </c>
      <c r="J210" s="1136">
        <f t="shared" si="6"/>
        <v>0</v>
      </c>
    </row>
    <row r="211" spans="2:10" ht="14.85" customHeight="1">
      <c r="B211" s="1130" t="str">
        <f>IF(AND($D9=0,$E9=0,$F9=0,$G9=0,$H9=0,$I9=0,$J9=0),"",$B9)</f>
        <v>1.1</v>
      </c>
      <c r="C211" s="1179" t="str">
        <f>IF(AND($D9=0,$E9=0,$F9=0,$G9=0,$H9=0,$I9=0,$J9=0),0,$C9)</f>
        <v>ארנונה למגורים</v>
      </c>
      <c r="D211" s="1136">
        <f t="shared" si="5"/>
        <v>171272</v>
      </c>
      <c r="E211" s="1136">
        <f t="shared" si="5"/>
        <v>0</v>
      </c>
      <c r="F211" s="1136">
        <f t="shared" si="5"/>
        <v>13355</v>
      </c>
      <c r="G211" s="1136">
        <f t="shared" si="6"/>
        <v>0</v>
      </c>
      <c r="H211" s="1136">
        <f t="shared" si="6"/>
        <v>0</v>
      </c>
      <c r="I211" s="1136">
        <f t="shared" si="6"/>
        <v>0</v>
      </c>
      <c r="J211" s="1136">
        <f t="shared" si="6"/>
        <v>184627</v>
      </c>
    </row>
    <row r="212" spans="2:10" ht="14.85" customHeight="1">
      <c r="B212" s="1130" t="str">
        <f>IF(AND($D10=0,$E10=0,$F10=0,$G10=0,$H10=0,$I10=0,$J10=0),"",$B10)</f>
        <v>1.2</v>
      </c>
      <c r="C212" s="1179" t="str">
        <f>IF(AND($D10=0,$E10=0,$F10=0,$G10=0,$H10=0,$I10=0,$J10=0),0,$C10)</f>
        <v>ארנונה אחרת</v>
      </c>
      <c r="D212" s="1136">
        <f t="shared" ref="D212:J213" si="7">D10</f>
        <v>264940</v>
      </c>
      <c r="E212" s="1136">
        <f t="shared" si="7"/>
        <v>0</v>
      </c>
      <c r="F212" s="1136">
        <f t="shared" si="7"/>
        <v>42410</v>
      </c>
      <c r="G212" s="1136">
        <f t="shared" si="7"/>
        <v>0</v>
      </c>
      <c r="H212" s="1136">
        <f t="shared" si="7"/>
        <v>0</v>
      </c>
      <c r="I212" s="1136">
        <f t="shared" si="7"/>
        <v>0</v>
      </c>
      <c r="J212" s="1136">
        <f t="shared" si="7"/>
        <v>307350</v>
      </c>
    </row>
    <row r="213" spans="2:10" ht="14.85" customHeight="1">
      <c r="B213" s="1130" t="str">
        <f>IF(AND($D11=0,$E11=0,$F11=0,$G11=0,$H11=0,$I11=0,$J11=0),"",$B11)</f>
        <v/>
      </c>
      <c r="C213" s="1179">
        <f>IF(AND($D11=0,$E11=0,$F11=0,$G11=0,$H11=0,$I11=0,$J11=0),0,$C11)</f>
        <v>0</v>
      </c>
      <c r="D213" s="2889">
        <f t="shared" si="7"/>
        <v>0</v>
      </c>
      <c r="E213" s="2889">
        <f t="shared" si="7"/>
        <v>0</v>
      </c>
      <c r="F213" s="2889">
        <f t="shared" si="7"/>
        <v>0</v>
      </c>
      <c r="G213" s="2889">
        <f t="shared" si="7"/>
        <v>0</v>
      </c>
      <c r="H213" s="2889">
        <f t="shared" si="7"/>
        <v>0</v>
      </c>
      <c r="I213" s="2889">
        <f t="shared" si="7"/>
        <v>0</v>
      </c>
      <c r="J213" s="2889">
        <f t="shared" si="7"/>
        <v>0</v>
      </c>
    </row>
    <row r="214" spans="2:10" ht="14.85" customHeight="1">
      <c r="B214" s="1130">
        <f>IF(AND($D12=0,$E12=0,$F12=0,$G12=0,$H12=0,$I12=0,$J12=0),"",$B12)</f>
        <v>0</v>
      </c>
      <c r="C214" s="1179" t="str">
        <f>IF(AND($D12=0,$E12=0,$F12=0,$G12=0,$H12=0,$I12=0,$J12=0),0,$C12)</f>
        <v>סה"כ ארנונה</v>
      </c>
      <c r="D214" s="1140">
        <f t="shared" ref="D214:J214" si="8">D12</f>
        <v>436212</v>
      </c>
      <c r="E214" s="1140">
        <f t="shared" si="8"/>
        <v>0</v>
      </c>
      <c r="F214" s="1140">
        <f t="shared" si="8"/>
        <v>55765</v>
      </c>
      <c r="G214" s="1140">
        <f t="shared" si="8"/>
        <v>0</v>
      </c>
      <c r="H214" s="1140">
        <f t="shared" si="8"/>
        <v>0</v>
      </c>
      <c r="I214" s="1140">
        <f t="shared" si="8"/>
        <v>0</v>
      </c>
      <c r="J214" s="1140">
        <f t="shared" si="8"/>
        <v>491977</v>
      </c>
    </row>
    <row r="215" spans="2:10" ht="14.85" customHeight="1">
      <c r="B215" s="1134" t="str">
        <f t="shared" ref="B215:J215" si="9">B13</f>
        <v>2</v>
      </c>
      <c r="C215" s="2617" t="str">
        <f t="shared" si="9"/>
        <v>אגרת מים וביוב</v>
      </c>
      <c r="D215" s="2618">
        <f t="shared" si="9"/>
        <v>0</v>
      </c>
      <c r="E215" s="2618">
        <f t="shared" si="9"/>
        <v>0</v>
      </c>
      <c r="F215" s="2618">
        <f t="shared" si="9"/>
        <v>0</v>
      </c>
      <c r="G215" s="2618">
        <f t="shared" si="9"/>
        <v>0</v>
      </c>
      <c r="H215" s="2618">
        <f t="shared" si="9"/>
        <v>0</v>
      </c>
      <c r="I215" s="2618">
        <f t="shared" si="9"/>
        <v>0</v>
      </c>
      <c r="J215" s="2618">
        <f t="shared" si="9"/>
        <v>0</v>
      </c>
    </row>
    <row r="216" spans="2:10" ht="14.85" customHeight="1">
      <c r="B216" s="1130" t="str">
        <f>IF(AND($D13=0,$E13=0,$F13=0,$G13=0,$H13=0,$I13=0,$J13=0),"",$B13)</f>
        <v/>
      </c>
      <c r="C216" s="1179">
        <f>IF(AND($D13=0,$E13=0,$F13=0,$G13=0,$H13=0,$I13=0,$J13=0),0,$C13)</f>
        <v>0</v>
      </c>
      <c r="D216" s="2613">
        <f t="shared" ref="D216:J216" si="10">D14</f>
        <v>0</v>
      </c>
      <c r="E216" s="2613">
        <f t="shared" si="10"/>
        <v>0</v>
      </c>
      <c r="F216" s="2613">
        <f t="shared" si="10"/>
        <v>832</v>
      </c>
      <c r="G216" s="2613">
        <f t="shared" si="10"/>
        <v>0</v>
      </c>
      <c r="H216" s="2613">
        <f t="shared" si="10"/>
        <v>0</v>
      </c>
      <c r="I216" s="2613">
        <f t="shared" si="10"/>
        <v>0</v>
      </c>
      <c r="J216" s="2613">
        <f t="shared" si="10"/>
        <v>832</v>
      </c>
    </row>
    <row r="217" spans="2:10" ht="14.85" customHeight="1">
      <c r="B217" s="1130" t="str">
        <f>IF(AND($D14=0,$E14=0,$F14=0,$G14=0,$H14=0,$I14=0,$J14=0),"",$B14)</f>
        <v>2.1</v>
      </c>
      <c r="C217" s="1179" t="str">
        <f>IF(AND($D14=0,$E14=0,$F14=0,$G14=0,$H14=0,$I14=0,$J14=0),0,$C14)</f>
        <v>אגרת מים</v>
      </c>
      <c r="D217" s="2613">
        <f t="shared" ref="D217:J217" si="11">D15</f>
        <v>0</v>
      </c>
      <c r="E217" s="2613">
        <f t="shared" si="11"/>
        <v>0</v>
      </c>
      <c r="F217" s="2613">
        <f t="shared" si="11"/>
        <v>0</v>
      </c>
      <c r="G217" s="2613">
        <f t="shared" si="11"/>
        <v>0</v>
      </c>
      <c r="H217" s="2613">
        <f t="shared" si="11"/>
        <v>0</v>
      </c>
      <c r="I217" s="2613">
        <f t="shared" si="11"/>
        <v>0</v>
      </c>
      <c r="J217" s="2613">
        <f t="shared" si="11"/>
        <v>0</v>
      </c>
    </row>
    <row r="218" spans="2:10" ht="14.85" customHeight="1">
      <c r="B218" s="1130" t="str">
        <f>IF(AND($D15=0,$E15=0,$F15=0,$G15=0,$H15=0,$I15=0,$J15=0),"",$B15)</f>
        <v/>
      </c>
      <c r="C218" s="1179">
        <f>IF(AND($D15=0,$E15=0,$F15=0,$G15=0,$H15=0,$I15=0,$J15=0),0,$C15)</f>
        <v>0</v>
      </c>
      <c r="D218" s="1140">
        <f t="shared" ref="D218:J218" si="12">D16</f>
        <v>0</v>
      </c>
      <c r="E218" s="1140">
        <f t="shared" si="12"/>
        <v>0</v>
      </c>
      <c r="F218" s="1140">
        <f t="shared" si="12"/>
        <v>832</v>
      </c>
      <c r="G218" s="1140">
        <f t="shared" si="12"/>
        <v>0</v>
      </c>
      <c r="H218" s="1140">
        <f t="shared" si="12"/>
        <v>0</v>
      </c>
      <c r="I218" s="1140">
        <f t="shared" si="12"/>
        <v>0</v>
      </c>
      <c r="J218" s="1140">
        <f t="shared" si="12"/>
        <v>832</v>
      </c>
    </row>
    <row r="219" spans="2:10" ht="14.85" customHeight="1">
      <c r="B219" s="1130" t="str">
        <f>IF(AND($D17=0,$E17=0,$F17=0,$G17=0,$H17=0,$I17=0,$J17=0),"",$B17)</f>
        <v>2.3</v>
      </c>
      <c r="C219" s="1179" t="str">
        <f>IF(AND($D17=0,$E17=0,$F17=0,$G17=0,$H17=0,$I17=0,$J17=0),0,$C17)</f>
        <v>אגרת ביוב</v>
      </c>
      <c r="D219" s="2613">
        <f t="shared" ref="D219:J227" si="13">D17</f>
        <v>0</v>
      </c>
      <c r="E219" s="2613">
        <f t="shared" si="13"/>
        <v>0</v>
      </c>
      <c r="F219" s="2613">
        <f t="shared" si="13"/>
        <v>49</v>
      </c>
      <c r="G219" s="2613">
        <f t="shared" si="13"/>
        <v>0</v>
      </c>
      <c r="H219" s="2613">
        <f t="shared" si="13"/>
        <v>0</v>
      </c>
      <c r="I219" s="2613">
        <f t="shared" si="13"/>
        <v>0</v>
      </c>
      <c r="J219" s="2613">
        <f t="shared" si="13"/>
        <v>49</v>
      </c>
    </row>
    <row r="220" spans="2:10" ht="14.85" customHeight="1">
      <c r="B220" s="1134" t="str">
        <f>IF(AND($D18=0,$E18=0,$F18=0,$G18=0,$H18=0,$I18=0,$J18=0),"",$B18)</f>
        <v/>
      </c>
      <c r="C220" s="1179" t="str">
        <f>IF(AND($C18&lt;&gt;"(***)",OR($D18&lt;&gt;0,$E18&lt;&gt;0,$F18&lt;&gt;0,$G18&lt;&gt;0,$H18&lt;&gt;0,$I18&lt;&gt;0,$J18&lt;&gt;0)),$C18,"")</f>
        <v/>
      </c>
      <c r="D220" s="1136">
        <f t="shared" si="13"/>
        <v>0</v>
      </c>
      <c r="E220" s="1136">
        <f t="shared" si="13"/>
        <v>0</v>
      </c>
      <c r="F220" s="1136">
        <f t="shared" si="13"/>
        <v>0</v>
      </c>
      <c r="G220" s="1136">
        <f t="shared" si="13"/>
        <v>0</v>
      </c>
      <c r="H220" s="1136">
        <f t="shared" si="13"/>
        <v>0</v>
      </c>
      <c r="I220" s="1136">
        <f t="shared" si="13"/>
        <v>0</v>
      </c>
      <c r="J220" s="1136">
        <f t="shared" si="13"/>
        <v>0</v>
      </c>
    </row>
    <row r="221" spans="2:10" ht="14.85" customHeight="1">
      <c r="B221" s="1134" t="str">
        <f>IF(AND($D19=0,$E19=0,$F19=0,$G19=0,$H19=0,$I19=0,$J19=0),"",$B19)</f>
        <v/>
      </c>
      <c r="C221" s="1179" t="str">
        <f>IF(AND($C19&lt;&gt;"(***)",OR($D19&lt;&gt;0,$E19&lt;&gt;0,$F19&lt;&gt;0,$G19&lt;&gt;0,$H19&lt;&gt;0,$I19&lt;&gt;0,$J19&lt;&gt;0)),$C19,"")</f>
        <v/>
      </c>
      <c r="D221" s="1136">
        <f t="shared" si="13"/>
        <v>0</v>
      </c>
      <c r="E221" s="1136">
        <f t="shared" si="13"/>
        <v>0</v>
      </c>
      <c r="F221" s="1136">
        <f t="shared" si="13"/>
        <v>0</v>
      </c>
      <c r="G221" s="1136">
        <f t="shared" si="13"/>
        <v>0</v>
      </c>
      <c r="H221" s="1136">
        <f t="shared" si="13"/>
        <v>0</v>
      </c>
      <c r="I221" s="1136">
        <f t="shared" si="13"/>
        <v>0</v>
      </c>
      <c r="J221" s="1136">
        <f t="shared" si="13"/>
        <v>0</v>
      </c>
    </row>
    <row r="222" spans="2:10" ht="14.85" customHeight="1">
      <c r="B222" s="1130">
        <f>B20</f>
        <v>0</v>
      </c>
      <c r="C222" s="1179" t="str">
        <f>IF(AND($D20=0,$E20=0,$F20=0,$G20=0,$H20=0,$I20=0,$J20=0),0,$C20)</f>
        <v>סה"כ חשבונות על בסיס חיוב שנתי חוזר</v>
      </c>
      <c r="D222" s="1137">
        <f t="shared" si="13"/>
        <v>436212</v>
      </c>
      <c r="E222" s="1137">
        <f t="shared" si="13"/>
        <v>0</v>
      </c>
      <c r="F222" s="1137">
        <f t="shared" si="13"/>
        <v>56646</v>
      </c>
      <c r="G222" s="1137">
        <f t="shared" si="13"/>
        <v>0</v>
      </c>
      <c r="H222" s="1137">
        <f t="shared" si="13"/>
        <v>0</v>
      </c>
      <c r="I222" s="1137">
        <f t="shared" si="13"/>
        <v>0</v>
      </c>
      <c r="J222" s="1137">
        <f t="shared" si="13"/>
        <v>492858</v>
      </c>
    </row>
    <row r="223" spans="2:10" s="1205" customFormat="1" ht="3" customHeight="1">
      <c r="B223" s="1130">
        <f>B21</f>
        <v>0</v>
      </c>
      <c r="C223" s="1179">
        <f>C21</f>
        <v>0</v>
      </c>
      <c r="D223" s="1179">
        <f t="shared" si="13"/>
        <v>0</v>
      </c>
      <c r="E223" s="1179">
        <f t="shared" si="13"/>
        <v>0</v>
      </c>
      <c r="F223" s="1179">
        <f t="shared" si="13"/>
        <v>0</v>
      </c>
      <c r="G223" s="1179">
        <f t="shared" si="13"/>
        <v>0</v>
      </c>
      <c r="H223" s="1179">
        <f t="shared" si="13"/>
        <v>0</v>
      </c>
      <c r="I223" s="1179">
        <f t="shared" si="13"/>
        <v>0</v>
      </c>
      <c r="J223" s="1180">
        <f t="shared" si="13"/>
        <v>0</v>
      </c>
    </row>
    <row r="224" spans="2:10" s="1205" customFormat="1" ht="11.25" customHeight="1">
      <c r="B224" s="1134" t="str">
        <f>B22</f>
        <v xml:space="preserve">ב. </v>
      </c>
      <c r="C224" s="1206" t="str">
        <f>C22</f>
        <v>חשבונות על בסיס חיוב חד פעמי</v>
      </c>
      <c r="D224" s="1179">
        <f t="shared" si="13"/>
        <v>0</v>
      </c>
      <c r="E224" s="1179">
        <f t="shared" si="13"/>
        <v>0</v>
      </c>
      <c r="F224" s="1179">
        <f t="shared" si="13"/>
        <v>0</v>
      </c>
      <c r="G224" s="1179">
        <f t="shared" si="13"/>
        <v>0</v>
      </c>
      <c r="H224" s="1179">
        <f t="shared" si="13"/>
        <v>0</v>
      </c>
      <c r="I224" s="1179">
        <f t="shared" si="13"/>
        <v>0</v>
      </c>
      <c r="J224" s="1180">
        <f t="shared" si="13"/>
        <v>0</v>
      </c>
    </row>
    <row r="225" spans="2:10" ht="14.85" customHeight="1">
      <c r="B225" s="1130">
        <f t="shared" ref="B225:B241" si="14">IF(AND($D23=0,$E23=0,$F23=0,$G23=0,$H23=0,$I23=0,$J23=0),"",$B23)</f>
        <v>1</v>
      </c>
      <c r="C225" s="1179" t="str">
        <f t="shared" ref="C225:C239" si="15">IF(AND($D23=0,$E23=0,$F23=0,$G23=0,$H23=0,$I23=0,$J23=0),0,$C23)</f>
        <v>חניה וקנסות חניה</v>
      </c>
      <c r="D225" s="1136">
        <f t="shared" si="13"/>
        <v>30511</v>
      </c>
      <c r="E225" s="1136">
        <f t="shared" si="13"/>
        <v>0</v>
      </c>
      <c r="F225" s="1136">
        <f t="shared" si="13"/>
        <v>0</v>
      </c>
      <c r="G225" s="1136">
        <f t="shared" si="13"/>
        <v>0</v>
      </c>
      <c r="H225" s="1136">
        <f t="shared" si="13"/>
        <v>0</v>
      </c>
      <c r="I225" s="1136">
        <f t="shared" si="13"/>
        <v>0</v>
      </c>
      <c r="J225" s="1136">
        <f t="shared" si="13"/>
        <v>30511</v>
      </c>
    </row>
    <row r="226" spans="2:10" ht="14.85" customHeight="1">
      <c r="B226" s="1130">
        <f t="shared" si="14"/>
        <v>2</v>
      </c>
      <c r="C226" s="1179" t="str">
        <f t="shared" si="15"/>
        <v>שכר דירה</v>
      </c>
      <c r="D226" s="1136">
        <f t="shared" si="13"/>
        <v>4527</v>
      </c>
      <c r="E226" s="1136">
        <f t="shared" si="13"/>
        <v>0</v>
      </c>
      <c r="F226" s="1136">
        <f t="shared" si="13"/>
        <v>0</v>
      </c>
      <c r="G226" s="1136">
        <f t="shared" si="13"/>
        <v>0</v>
      </c>
      <c r="H226" s="1136">
        <f t="shared" si="13"/>
        <v>0</v>
      </c>
      <c r="I226" s="1136">
        <f t="shared" si="13"/>
        <v>0</v>
      </c>
      <c r="J226" s="1136">
        <f t="shared" si="13"/>
        <v>4527</v>
      </c>
    </row>
    <row r="227" spans="2:10" ht="14.85" customHeight="1">
      <c r="B227" s="1130">
        <f t="shared" si="14"/>
        <v>3</v>
      </c>
      <c r="C227" s="1179" t="str">
        <f t="shared" si="15"/>
        <v>קנסות</v>
      </c>
      <c r="D227" s="1136">
        <f t="shared" si="13"/>
        <v>589</v>
      </c>
      <c r="E227" s="1136">
        <f t="shared" si="13"/>
        <v>0</v>
      </c>
      <c r="F227" s="1136">
        <f t="shared" si="13"/>
        <v>0</v>
      </c>
      <c r="G227" s="1136">
        <f t="shared" si="13"/>
        <v>0</v>
      </c>
      <c r="H227" s="1136">
        <f t="shared" si="13"/>
        <v>0</v>
      </c>
      <c r="I227" s="1136">
        <f t="shared" si="13"/>
        <v>0</v>
      </c>
      <c r="J227" s="1136">
        <f t="shared" si="13"/>
        <v>589</v>
      </c>
    </row>
    <row r="228" spans="2:10" ht="14.85" customHeight="1">
      <c r="B228" s="1130">
        <f t="shared" si="14"/>
        <v>4</v>
      </c>
      <c r="C228" s="1179" t="str">
        <f t="shared" si="15"/>
        <v>עצמיות חינוך</v>
      </c>
      <c r="D228" s="1136">
        <f t="shared" ref="D228:J237" si="16">D26</f>
        <v>225</v>
      </c>
      <c r="E228" s="1136">
        <f t="shared" si="16"/>
        <v>0</v>
      </c>
      <c r="F228" s="1136">
        <f t="shared" si="16"/>
        <v>0</v>
      </c>
      <c r="G228" s="1136">
        <f t="shared" si="16"/>
        <v>0</v>
      </c>
      <c r="H228" s="1136">
        <f t="shared" si="16"/>
        <v>0</v>
      </c>
      <c r="I228" s="1136">
        <f t="shared" si="16"/>
        <v>0</v>
      </c>
      <c r="J228" s="1136">
        <f t="shared" si="16"/>
        <v>225</v>
      </c>
    </row>
    <row r="229" spans="2:10" ht="14.85" customHeight="1">
      <c r="B229" s="1130" t="str">
        <f t="shared" si="14"/>
        <v/>
      </c>
      <c r="C229" s="1179">
        <f t="shared" si="15"/>
        <v>0</v>
      </c>
      <c r="D229" s="1136">
        <f t="shared" si="16"/>
        <v>0</v>
      </c>
      <c r="E229" s="1136">
        <f t="shared" si="16"/>
        <v>0</v>
      </c>
      <c r="F229" s="1136">
        <f t="shared" si="16"/>
        <v>0</v>
      </c>
      <c r="G229" s="1136">
        <f t="shared" si="16"/>
        <v>0</v>
      </c>
      <c r="H229" s="1136">
        <f t="shared" si="16"/>
        <v>0</v>
      </c>
      <c r="I229" s="1136">
        <f t="shared" si="16"/>
        <v>0</v>
      </c>
      <c r="J229" s="1136">
        <f t="shared" si="16"/>
        <v>0</v>
      </c>
    </row>
    <row r="230" spans="2:10" ht="14.85" customHeight="1">
      <c r="B230" s="1130" t="str">
        <f t="shared" si="14"/>
        <v/>
      </c>
      <c r="C230" s="1179">
        <f t="shared" si="15"/>
        <v>0</v>
      </c>
      <c r="D230" s="1136">
        <f t="shared" si="16"/>
        <v>0</v>
      </c>
      <c r="E230" s="1136">
        <f t="shared" si="16"/>
        <v>0</v>
      </c>
      <c r="F230" s="1136">
        <f t="shared" si="16"/>
        <v>0</v>
      </c>
      <c r="G230" s="1136">
        <f t="shared" si="16"/>
        <v>0</v>
      </c>
      <c r="H230" s="1136">
        <f t="shared" si="16"/>
        <v>0</v>
      </c>
      <c r="I230" s="1136">
        <f t="shared" si="16"/>
        <v>0</v>
      </c>
      <c r="J230" s="1136">
        <f t="shared" si="16"/>
        <v>0</v>
      </c>
    </row>
    <row r="231" spans="2:10" ht="14.85" customHeight="1">
      <c r="B231" s="1130" t="str">
        <f t="shared" si="14"/>
        <v/>
      </c>
      <c r="C231" s="1179">
        <f t="shared" si="15"/>
        <v>0</v>
      </c>
      <c r="D231" s="1136">
        <f t="shared" si="16"/>
        <v>0</v>
      </c>
      <c r="E231" s="1136">
        <f t="shared" si="16"/>
        <v>0</v>
      </c>
      <c r="F231" s="1136">
        <f t="shared" si="16"/>
        <v>0</v>
      </c>
      <c r="G231" s="1136">
        <f t="shared" si="16"/>
        <v>0</v>
      </c>
      <c r="H231" s="1136">
        <f t="shared" si="16"/>
        <v>0</v>
      </c>
      <c r="I231" s="1136">
        <f t="shared" si="16"/>
        <v>0</v>
      </c>
      <c r="J231" s="1136">
        <f t="shared" si="16"/>
        <v>0</v>
      </c>
    </row>
    <row r="232" spans="2:10" ht="14.85" customHeight="1">
      <c r="B232" s="1130">
        <f t="shared" si="14"/>
        <v>8</v>
      </c>
      <c r="C232" s="1179" t="str">
        <f t="shared" si="15"/>
        <v>הטלי השבחה</v>
      </c>
      <c r="D232" s="1136">
        <f t="shared" si="16"/>
        <v>172102</v>
      </c>
      <c r="E232" s="1136">
        <f t="shared" si="16"/>
        <v>0</v>
      </c>
      <c r="F232" s="1136">
        <f t="shared" si="16"/>
        <v>0</v>
      </c>
      <c r="G232" s="1136">
        <f t="shared" si="16"/>
        <v>0</v>
      </c>
      <c r="H232" s="1136">
        <f t="shared" si="16"/>
        <v>0</v>
      </c>
      <c r="I232" s="1136">
        <f t="shared" si="16"/>
        <v>0</v>
      </c>
      <c r="J232" s="1136">
        <f t="shared" si="16"/>
        <v>172102</v>
      </c>
    </row>
    <row r="233" spans="2:10" ht="14.85" customHeight="1">
      <c r="B233" s="1130">
        <f t="shared" si="14"/>
        <v>9</v>
      </c>
      <c r="C233" s="1179" t="str">
        <f t="shared" si="15"/>
        <v>הטלי פיתוח</v>
      </c>
      <c r="D233" s="1136">
        <f t="shared" si="16"/>
        <v>45119</v>
      </c>
      <c r="E233" s="1136">
        <f t="shared" si="16"/>
        <v>0</v>
      </c>
      <c r="F233" s="1136">
        <f t="shared" si="16"/>
        <v>0</v>
      </c>
      <c r="G233" s="1136">
        <f t="shared" si="16"/>
        <v>0</v>
      </c>
      <c r="H233" s="1136">
        <f t="shared" si="16"/>
        <v>0</v>
      </c>
      <c r="I233" s="1136">
        <f t="shared" si="16"/>
        <v>0</v>
      </c>
      <c r="J233" s="1136">
        <f t="shared" si="16"/>
        <v>45119</v>
      </c>
    </row>
    <row r="234" spans="2:10" ht="14.85" customHeight="1">
      <c r="B234" s="1130">
        <f t="shared" si="14"/>
        <v>10</v>
      </c>
      <c r="C234" s="1179" t="str">
        <f t="shared" si="15"/>
        <v>אגרות בניה</v>
      </c>
      <c r="D234" s="1136">
        <f t="shared" si="16"/>
        <v>12498</v>
      </c>
      <c r="E234" s="1136">
        <f t="shared" si="16"/>
        <v>0</v>
      </c>
      <c r="F234" s="1136">
        <f t="shared" si="16"/>
        <v>0</v>
      </c>
      <c r="G234" s="1136">
        <f t="shared" si="16"/>
        <v>0</v>
      </c>
      <c r="H234" s="1136">
        <f t="shared" si="16"/>
        <v>0</v>
      </c>
      <c r="I234" s="1136">
        <f t="shared" si="16"/>
        <v>0</v>
      </c>
      <c r="J234" s="1136">
        <f t="shared" si="16"/>
        <v>12498</v>
      </c>
    </row>
    <row r="235" spans="2:10" ht="14.85" customHeight="1">
      <c r="B235" s="1130">
        <f t="shared" si="14"/>
        <v>11</v>
      </c>
      <c r="C235" s="1179" t="str">
        <f t="shared" si="15"/>
        <v>הטל ביוב</v>
      </c>
      <c r="D235" s="1136">
        <f t="shared" si="16"/>
        <v>173</v>
      </c>
      <c r="E235" s="1136">
        <f t="shared" si="16"/>
        <v>0</v>
      </c>
      <c r="F235" s="1136">
        <f t="shared" si="16"/>
        <v>0</v>
      </c>
      <c r="G235" s="1136">
        <f t="shared" si="16"/>
        <v>0</v>
      </c>
      <c r="H235" s="1136">
        <f t="shared" si="16"/>
        <v>0</v>
      </c>
      <c r="I235" s="1136">
        <f t="shared" si="16"/>
        <v>0</v>
      </c>
      <c r="J235" s="1136">
        <f t="shared" si="16"/>
        <v>173</v>
      </c>
    </row>
    <row r="236" spans="2:10" ht="14.85" customHeight="1">
      <c r="B236" s="1130" t="str">
        <f t="shared" si="14"/>
        <v/>
      </c>
      <c r="C236" s="1179">
        <f t="shared" si="15"/>
        <v>0</v>
      </c>
      <c r="D236" s="1136">
        <f t="shared" si="16"/>
        <v>0</v>
      </c>
      <c r="E236" s="1136">
        <f t="shared" si="16"/>
        <v>0</v>
      </c>
      <c r="F236" s="1136">
        <f t="shared" si="16"/>
        <v>0</v>
      </c>
      <c r="G236" s="1136">
        <f t="shared" si="16"/>
        <v>0</v>
      </c>
      <c r="H236" s="1136">
        <f t="shared" si="16"/>
        <v>0</v>
      </c>
      <c r="I236" s="1136">
        <f t="shared" si="16"/>
        <v>0</v>
      </c>
      <c r="J236" s="1136">
        <f t="shared" si="16"/>
        <v>0</v>
      </c>
    </row>
    <row r="237" spans="2:10" ht="14.85" customHeight="1">
      <c r="B237" s="1130" t="str">
        <f t="shared" si="14"/>
        <v/>
      </c>
      <c r="C237" s="1179">
        <f t="shared" si="15"/>
        <v>0</v>
      </c>
      <c r="D237" s="1136">
        <f t="shared" si="16"/>
        <v>0</v>
      </c>
      <c r="E237" s="1136">
        <f t="shared" si="16"/>
        <v>0</v>
      </c>
      <c r="F237" s="1136">
        <f t="shared" si="16"/>
        <v>0</v>
      </c>
      <c r="G237" s="1136">
        <f t="shared" si="16"/>
        <v>0</v>
      </c>
      <c r="H237" s="1136">
        <f t="shared" si="16"/>
        <v>0</v>
      </c>
      <c r="I237" s="1136">
        <f t="shared" si="16"/>
        <v>0</v>
      </c>
      <c r="J237" s="1136">
        <f t="shared" si="16"/>
        <v>0</v>
      </c>
    </row>
    <row r="238" spans="2:10" ht="14.85" customHeight="1">
      <c r="B238" s="1130">
        <f t="shared" si="14"/>
        <v>14</v>
      </c>
      <c r="C238" s="1179" t="str">
        <f t="shared" si="15"/>
        <v xml:space="preserve">שיקים שחזרו וחובות בהסדר </v>
      </c>
      <c r="D238" s="1136">
        <f t="shared" ref="D238:J239" si="17">D36</f>
        <v>485</v>
      </c>
      <c r="E238" s="1136">
        <f t="shared" si="17"/>
        <v>0</v>
      </c>
      <c r="F238" s="1136">
        <f t="shared" si="17"/>
        <v>0</v>
      </c>
      <c r="G238" s="1136">
        <f t="shared" si="17"/>
        <v>0</v>
      </c>
      <c r="H238" s="1136">
        <f t="shared" si="17"/>
        <v>0</v>
      </c>
      <c r="I238" s="1136">
        <f t="shared" si="17"/>
        <v>0</v>
      </c>
      <c r="J238" s="1136">
        <f t="shared" si="17"/>
        <v>485</v>
      </c>
    </row>
    <row r="239" spans="2:10" ht="14.85" customHeight="1">
      <c r="B239" s="1130">
        <f t="shared" si="14"/>
        <v>15</v>
      </c>
      <c r="C239" s="1179" t="str">
        <f t="shared" si="15"/>
        <v xml:space="preserve">אחרים </v>
      </c>
      <c r="D239" s="1136">
        <f t="shared" si="17"/>
        <v>9340</v>
      </c>
      <c r="E239" s="1136">
        <f t="shared" si="17"/>
        <v>0</v>
      </c>
      <c r="F239" s="1136">
        <f t="shared" si="17"/>
        <v>0</v>
      </c>
      <c r="G239" s="1136">
        <f t="shared" si="17"/>
        <v>0</v>
      </c>
      <c r="H239" s="1136">
        <f t="shared" si="17"/>
        <v>0</v>
      </c>
      <c r="I239" s="1136">
        <f t="shared" si="17"/>
        <v>0</v>
      </c>
      <c r="J239" s="1136">
        <f t="shared" si="17"/>
        <v>9340</v>
      </c>
    </row>
    <row r="240" spans="2:10" ht="14.85" customHeight="1">
      <c r="B240" s="1130">
        <f t="shared" si="14"/>
        <v>16</v>
      </c>
      <c r="C240" s="1179" t="str">
        <f>IF(AND($C38&lt;&gt;"(***)",OR($D38&lt;&gt;0,$E38&lt;&gt;0,$F38&lt;&gt;0,$G38&lt;&gt;0,$H38&lt;&gt;0,$I38&lt;&gt;0,$J38&lt;&gt;0)),$C38,"")</f>
        <v>היטל צריכה עודפת</v>
      </c>
      <c r="D240" s="1136">
        <f t="shared" ref="D240:J244" si="18">D38</f>
        <v>1</v>
      </c>
      <c r="E240" s="1136">
        <f t="shared" si="18"/>
        <v>0</v>
      </c>
      <c r="F240" s="1136">
        <f t="shared" si="18"/>
        <v>0</v>
      </c>
      <c r="G240" s="1136">
        <f t="shared" si="18"/>
        <v>0</v>
      </c>
      <c r="H240" s="1136">
        <f t="shared" si="18"/>
        <v>0</v>
      </c>
      <c r="I240" s="1136">
        <f t="shared" si="18"/>
        <v>0</v>
      </c>
      <c r="J240" s="1136">
        <f t="shared" si="18"/>
        <v>1</v>
      </c>
    </row>
    <row r="241" spans="2:10" ht="14.85" customHeight="1">
      <c r="B241" s="1130" t="str">
        <f t="shared" si="14"/>
        <v/>
      </c>
      <c r="C241" s="1179" t="str">
        <f>IF(AND($C39&lt;&gt;"(***)",OR($D39&lt;&gt;0,$E39&lt;&gt;0,$F39&lt;&gt;0,$G39&lt;&gt;0,$H39&lt;&gt;0,$I39&lt;&gt;0,$J39&lt;&gt;0)),$C39,"")</f>
        <v/>
      </c>
      <c r="D241" s="1136">
        <f t="shared" si="18"/>
        <v>0</v>
      </c>
      <c r="E241" s="1136">
        <f t="shared" si="18"/>
        <v>0</v>
      </c>
      <c r="F241" s="1136">
        <f t="shared" si="18"/>
        <v>0</v>
      </c>
      <c r="G241" s="1136">
        <f t="shared" si="18"/>
        <v>0</v>
      </c>
      <c r="H241" s="1136">
        <f t="shared" si="18"/>
        <v>0</v>
      </c>
      <c r="I241" s="1136">
        <f t="shared" si="18"/>
        <v>0</v>
      </c>
      <c r="J241" s="1136">
        <f t="shared" si="18"/>
        <v>0</v>
      </c>
    </row>
    <row r="242" spans="2:10" ht="14.85" customHeight="1">
      <c r="B242" s="1130">
        <f>B40</f>
        <v>0</v>
      </c>
      <c r="C242" s="1179" t="str">
        <f>IF(AND($D40=0,$E40=0,$F40=0,$G40=0,$H40=0,$I40=0,$J40=0),0,$C40)</f>
        <v>סה"כ חשבונות על בסיס חיוב חד-פעמי</v>
      </c>
      <c r="D242" s="1137">
        <f t="shared" si="18"/>
        <v>275570</v>
      </c>
      <c r="E242" s="1137">
        <f t="shared" si="18"/>
        <v>0</v>
      </c>
      <c r="F242" s="1137">
        <f t="shared" si="18"/>
        <v>0</v>
      </c>
      <c r="G242" s="1137">
        <f t="shared" si="18"/>
        <v>0</v>
      </c>
      <c r="H242" s="1137">
        <f t="shared" si="18"/>
        <v>0</v>
      </c>
      <c r="I242" s="1137">
        <f t="shared" si="18"/>
        <v>0</v>
      </c>
      <c r="J242" s="1137">
        <f t="shared" si="18"/>
        <v>275570</v>
      </c>
    </row>
    <row r="243" spans="2:10" s="1205" customFormat="1" ht="4.5" customHeight="1">
      <c r="B243" s="1130">
        <f>B41</f>
        <v>0</v>
      </c>
      <c r="C243" s="1179">
        <f>C41</f>
        <v>0</v>
      </c>
      <c r="D243" s="1207">
        <f t="shared" si="18"/>
        <v>0</v>
      </c>
      <c r="E243" s="1207">
        <f t="shared" si="18"/>
        <v>0</v>
      </c>
      <c r="F243" s="1207">
        <f t="shared" si="18"/>
        <v>0</v>
      </c>
      <c r="G243" s="1207">
        <f t="shared" si="18"/>
        <v>0</v>
      </c>
      <c r="H243" s="1207">
        <f t="shared" si="18"/>
        <v>0</v>
      </c>
      <c r="I243" s="1207">
        <f t="shared" si="18"/>
        <v>0</v>
      </c>
      <c r="J243" s="1208">
        <f t="shared" si="18"/>
        <v>0</v>
      </c>
    </row>
    <row r="244" spans="2:10" ht="14.85" customHeight="1" thickBot="1">
      <c r="B244" s="1130">
        <f>B42</f>
        <v>0</v>
      </c>
      <c r="C244" s="1179" t="str">
        <f>IF(AND($D42=0,$E42=0,$F42=0,$G42=0,$H42=0,$I42=0,$J42=0),0,$C42)</f>
        <v>סה"כ</v>
      </c>
      <c r="D244" s="1209">
        <f t="shared" si="18"/>
        <v>711782</v>
      </c>
      <c r="E244" s="1209">
        <f t="shared" si="18"/>
        <v>0</v>
      </c>
      <c r="F244" s="1209">
        <f t="shared" si="18"/>
        <v>56646</v>
      </c>
      <c r="G244" s="1209">
        <f t="shared" si="18"/>
        <v>0</v>
      </c>
      <c r="H244" s="1209">
        <f t="shared" si="18"/>
        <v>0</v>
      </c>
      <c r="I244" s="1209">
        <f t="shared" si="18"/>
        <v>0</v>
      </c>
      <c r="J244" s="1209">
        <f t="shared" si="18"/>
        <v>768428</v>
      </c>
    </row>
    <row r="245" spans="2:10" s="1205" customFormat="1" ht="15" customHeight="1" thickTop="1">
      <c r="B245" s="1181">
        <f>B44</f>
        <v>0</v>
      </c>
      <c r="C245" s="1210">
        <f>IF(C43&lt;&gt;"(***)",C43,0)</f>
        <v>0</v>
      </c>
      <c r="D245" s="1211">
        <f t="shared" ref="D245:J245" si="19">D44</f>
        <v>0</v>
      </c>
      <c r="E245" s="1211">
        <f t="shared" si="19"/>
        <v>0</v>
      </c>
      <c r="F245" s="1211">
        <f t="shared" si="19"/>
        <v>0</v>
      </c>
      <c r="G245" s="1211">
        <f t="shared" si="19"/>
        <v>0</v>
      </c>
      <c r="H245" s="1211">
        <f t="shared" si="19"/>
        <v>0</v>
      </c>
      <c r="I245" s="1211">
        <f t="shared" si="19"/>
        <v>0</v>
      </c>
      <c r="J245" s="1212">
        <f t="shared" si="19"/>
        <v>0</v>
      </c>
    </row>
  </sheetData>
  <sheetProtection password="83C1" sheet="1" objects="1" scenarios="1"/>
  <mergeCells count="8">
    <mergeCell ref="D1:L1"/>
    <mergeCell ref="D2:L2"/>
    <mergeCell ref="D3:L3"/>
    <mergeCell ref="B205:J205"/>
    <mergeCell ref="B204:J204"/>
    <mergeCell ref="B203:J203"/>
    <mergeCell ref="D5:E5"/>
    <mergeCell ref="F5:G5"/>
  </mergeCells>
  <phoneticPr fontId="4" type="noConversion"/>
  <conditionalFormatting sqref="D13:G13">
    <cfRule type="expression" dxfId="15" priority="1" stopIfTrue="1">
      <formula>OR(D$16&lt;&gt;0,D$17&lt;&gt;0)</formula>
    </cfRule>
  </conditionalFormatting>
  <conditionalFormatting sqref="D17:G17 D14:G15">
    <cfRule type="expression" dxfId="14" priority="2" stopIfTrue="1">
      <formula>D$13&lt;&gt;0</formula>
    </cfRule>
  </conditionalFormatting>
  <conditionalFormatting sqref="J13">
    <cfRule type="expression" dxfId="13" priority="3" stopIfTrue="1">
      <formula>AND(OR(J$16&lt;&gt;0,J$17&lt;&gt;0),J13=0)</formula>
    </cfRule>
  </conditionalFormatting>
  <conditionalFormatting sqref="J17 J14:J15">
    <cfRule type="expression" dxfId="12" priority="4" stopIfTrue="1">
      <formula>AND(J$13&lt;&gt;0,J14=0)</formula>
    </cfRule>
  </conditionalFormatting>
  <dataValidations count="4">
    <dataValidation allowBlank="1" showErrorMessage="1" sqref="H13:I15 G14:G15 D14:F14"/>
    <dataValidation allowBlank="1" showInputMessage="1" showErrorMessage="1" promptTitle="אגרת מים וביוב:" prompt="למילוי כאשר לא קיים פירוט בין אגרת מים וביוב" sqref="D13:G13"/>
    <dataValidation allowBlank="1" showInputMessage="1" showErrorMessage="1" promptTitle="ארנונה:" prompt="למילוי כאשר לא קיים פירוט בין ארנונה למגורים לארנונה אחרת" sqref="E8"/>
    <dataValidation type="textLength" operator="equal" allowBlank="1" showDropDown="1" showInputMessage="1" showErrorMessage="1" errorTitle="גביה מחובות מסופקים" error="גביה שבוצעה מחובות מסופקים יש להציג:_x000a_1. כהעברה מחובות מסופקים לחובות טובים בסעיף הרלוונטי._x000a_ 2. גביה מחובות טובים._x000a_יש ללחוץ על הכפתור &quot;ביטול&quot; ולהשאיר את השדה ריק." promptTitle="גביה מחובות מסופקים" prompt="גביה שבוצעה מחובות מסופקים יש להציג:_x000a_ 1. כהעברה מחובות מסופקים לחובות טובים בסעיף הרלוונטי._x000a_ 2. גביה מחובות טובים." sqref="D15:F15 D11:F11 D19:F19">
      <formula1>0</formula1>
    </dataValidation>
  </dataValidations>
  <hyperlinks>
    <hyperlink ref="A4" location="'תוכן הענינים'!A1" tooltip="לחץ להצגת גליון תוכן הענינים" display="הצג תוכן ענינים"/>
  </hyperlinks>
  <printOptions horizontalCentered="1"/>
  <pageMargins left="0.75" right="0.75" top="0.44" bottom="0.47" header="0.25" footer="0.31"/>
  <pageSetup paperSize="9" scale="90" orientation="landscape" blackAndWhite="1" horizontalDpi="300" verticalDpi="300" r:id="rId1"/>
  <headerFooter alignWithMargins="0">
    <oddHeader>&amp;L&amp;8&amp;A</oddHeader>
    <oddFooter>&amp;C&amp;8&amp;P</oddFoot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2">
    <pageSetUpPr autoPageBreaks="0"/>
  </sheetPr>
  <dimension ref="A1:L249"/>
  <sheetViews>
    <sheetView showGridLines="0" showRowColHeaders="0" showZeros="0" rightToLeft="1" showOutlineSymbols="0" zoomScale="80" zoomScaleNormal="90" zoomScaleSheetLayoutView="75" workbookViewId="0">
      <selection activeCell="A4" sqref="A4"/>
    </sheetView>
  </sheetViews>
  <sheetFormatPr defaultColWidth="9.109375" defaultRowHeight="13.2"/>
  <cols>
    <col min="1" max="1" width="5.44140625" style="1623" customWidth="1"/>
    <col min="2" max="2" width="37.33203125" style="1623" customWidth="1"/>
    <col min="3" max="3" width="1.109375" style="1623" customWidth="1"/>
    <col min="4" max="4" width="14" style="1691" customWidth="1"/>
    <col min="5" max="5" width="2.6640625" style="1623" customWidth="1"/>
    <col min="6" max="6" width="14" style="1623" customWidth="1"/>
    <col min="7" max="7" width="2.6640625" style="1623" customWidth="1"/>
    <col min="8" max="8" width="14" style="1623" customWidth="1"/>
    <col min="9" max="9" width="2.6640625" style="1623" customWidth="1"/>
    <col min="10" max="10" width="14" style="1623" customWidth="1"/>
    <col min="11" max="11" width="10" style="1623" customWidth="1"/>
    <col min="12" max="16384" width="9.109375" style="1623"/>
  </cols>
  <sheetData>
    <row r="1" spans="1:12" ht="18.75" customHeight="1">
      <c r="A1" s="1619"/>
      <c r="B1" s="1620"/>
      <c r="C1" s="1620"/>
      <c r="D1" s="3548" t="str">
        <f>'הגדרות כלליות'!D6</f>
        <v>עירית הרצליה</v>
      </c>
      <c r="E1" s="3452"/>
      <c r="F1" s="3452"/>
      <c r="G1" s="3452"/>
      <c r="H1" s="3452"/>
      <c r="I1" s="3452"/>
      <c r="J1" s="3549"/>
      <c r="K1" s="1621"/>
      <c r="L1" s="1622"/>
    </row>
    <row r="2" spans="1:12" ht="15.6">
      <c r="A2" s="1620"/>
      <c r="B2" s="1620"/>
      <c r="C2" s="3550" t="str">
        <f>CONCATENATE("הדוח הכספי לשנת ",'הגדרות כלליות'!D10)</f>
        <v>הדוח הכספי לשנת 2015</v>
      </c>
      <c r="D2" s="3551"/>
      <c r="E2" s="3551"/>
      <c r="F2" s="3551"/>
      <c r="G2" s="3551"/>
      <c r="H2" s="3551"/>
      <c r="I2" s="3551"/>
      <c r="J2" s="3551"/>
      <c r="K2" s="1624"/>
      <c r="L2" s="1622"/>
    </row>
    <row r="3" spans="1:12" ht="15.6">
      <c r="A3" s="1620"/>
      <c r="B3" s="1625"/>
      <c r="C3" s="1625"/>
      <c r="D3" s="3552" t="str">
        <f>CONCATENATE("דוח גביה ויתרות חייבים ליום 31 בדצמבר ",'הגדרות כלליות'!D10, " (אלפי ש''ח) ")</f>
        <v xml:space="preserve">דוח גביה ויתרות חייבים ליום 31 בדצמבר 2015 (אלפי ש''ח) </v>
      </c>
      <c r="E3" s="3452"/>
      <c r="F3" s="3452"/>
      <c r="G3" s="3452"/>
      <c r="H3" s="3452"/>
      <c r="I3" s="3452"/>
      <c r="J3" s="3452"/>
      <c r="K3" s="1626"/>
      <c r="L3" s="1622"/>
    </row>
    <row r="4" spans="1:12" ht="28.5" customHeight="1">
      <c r="A4" s="7" t="s">
        <v>339</v>
      </c>
      <c r="B4" s="1627"/>
      <c r="C4" s="1279"/>
      <c r="D4" s="1279"/>
      <c r="E4" s="1279"/>
      <c r="F4" s="1279"/>
      <c r="G4" s="1279"/>
      <c r="H4" s="1279"/>
      <c r="I4" s="1279"/>
      <c r="J4" s="1279"/>
      <c r="K4" s="1628"/>
      <c r="L4" s="1622"/>
    </row>
    <row r="5" spans="1:12">
      <c r="A5" s="1628"/>
      <c r="B5" s="3543" t="s">
        <v>122</v>
      </c>
      <c r="C5" s="1629"/>
      <c r="D5" s="3545" t="s">
        <v>97</v>
      </c>
      <c r="E5" s="3545"/>
      <c r="F5" s="3545"/>
      <c r="G5" s="1630"/>
      <c r="H5" s="3546" t="s">
        <v>1045</v>
      </c>
      <c r="I5" s="3546"/>
      <c r="J5" s="3547"/>
      <c r="K5" s="1628"/>
      <c r="L5" s="1622"/>
    </row>
    <row r="6" spans="1:12">
      <c r="A6" s="1631"/>
      <c r="B6" s="3544"/>
      <c r="C6" s="1632"/>
      <c r="D6" s="2666">
        <f>'הגדרות כלליות'!D10</f>
        <v>2015</v>
      </c>
      <c r="E6" s="1634"/>
      <c r="F6" s="2667">
        <f>'הגדרות כלליות'!D12</f>
        <v>2014</v>
      </c>
      <c r="G6" s="1634"/>
      <c r="H6" s="2667">
        <f>Shana</f>
        <v>2015</v>
      </c>
      <c r="I6" s="2667"/>
      <c r="J6" s="2668">
        <f>ShanaKodemet</f>
        <v>2014</v>
      </c>
      <c r="K6" s="1628"/>
      <c r="L6" s="1622"/>
    </row>
    <row r="7" spans="1:12" ht="11.25" customHeight="1">
      <c r="A7" s="1628"/>
      <c r="B7" s="1636"/>
      <c r="C7" s="1637"/>
      <c r="D7" s="1638"/>
      <c r="E7" s="1637"/>
      <c r="F7" s="1637"/>
      <c r="G7" s="1637"/>
      <c r="H7" s="1637"/>
      <c r="I7" s="1637"/>
      <c r="J7" s="1639"/>
      <c r="K7" s="1628"/>
      <c r="L7" s="1622"/>
    </row>
    <row r="8" spans="1:12" ht="11.25" customHeight="1">
      <c r="A8" s="1628"/>
      <c r="B8" s="1636" t="s">
        <v>863</v>
      </c>
      <c r="C8" s="1637"/>
      <c r="D8" s="1638"/>
      <c r="E8" s="1637"/>
      <c r="F8" s="1637"/>
      <c r="G8" s="1637"/>
      <c r="H8" s="1637"/>
      <c r="I8" s="1637"/>
      <c r="J8" s="1639"/>
      <c r="K8" s="1628"/>
      <c r="L8" s="1622"/>
    </row>
    <row r="9" spans="1:12" ht="15" customHeight="1">
      <c r="A9" s="1640"/>
      <c r="B9" s="1641" t="s">
        <v>98</v>
      </c>
      <c r="C9" s="1637"/>
      <c r="D9" s="998">
        <f>F34</f>
        <v>150029</v>
      </c>
      <c r="E9" s="1643"/>
      <c r="F9" s="1642">
        <v>134943</v>
      </c>
      <c r="G9" s="1643"/>
      <c r="H9" s="998">
        <f>J34</f>
        <v>788</v>
      </c>
      <c r="I9" s="1643"/>
      <c r="J9" s="2669">
        <v>797</v>
      </c>
      <c r="K9" s="1628"/>
      <c r="L9" s="1622"/>
    </row>
    <row r="10" spans="1:12" ht="15" customHeight="1">
      <c r="A10" s="1640"/>
      <c r="B10" s="1641" t="s">
        <v>8</v>
      </c>
      <c r="C10" s="1637"/>
      <c r="D10" s="1642"/>
      <c r="E10" s="1643"/>
      <c r="F10" s="1642"/>
      <c r="G10" s="1643"/>
      <c r="H10" s="1642"/>
      <c r="I10" s="1643"/>
      <c r="J10" s="2669"/>
      <c r="K10" s="1628"/>
      <c r="L10" s="1622"/>
    </row>
    <row r="11" spans="1:12" ht="15" customHeight="1">
      <c r="A11" s="1640"/>
      <c r="B11" s="1641" t="s">
        <v>99</v>
      </c>
      <c r="C11" s="1637"/>
      <c r="D11" s="1645">
        <v>5637</v>
      </c>
      <c r="E11" s="1643"/>
      <c r="F11" s="1645">
        <v>-7294</v>
      </c>
      <c r="G11" s="1643"/>
      <c r="H11" s="1645">
        <v>0</v>
      </c>
      <c r="I11" s="1643"/>
      <c r="J11" s="2670">
        <v>1263</v>
      </c>
      <c r="K11" s="1628"/>
      <c r="L11" s="1622"/>
    </row>
    <row r="12" spans="1:12" ht="15" customHeight="1">
      <c r="A12" s="1640"/>
      <c r="B12" s="1641" t="s">
        <v>100</v>
      </c>
      <c r="C12" s="1637"/>
      <c r="D12" s="1645">
        <v>-4240</v>
      </c>
      <c r="E12" s="1643"/>
      <c r="F12" s="1645">
        <v>-4451</v>
      </c>
      <c r="G12" s="1643"/>
      <c r="H12" s="1645">
        <v>785</v>
      </c>
      <c r="I12" s="1643"/>
      <c r="J12" s="2670">
        <v>-525</v>
      </c>
      <c r="K12" s="1628"/>
      <c r="L12" s="1622"/>
    </row>
    <row r="13" spans="1:12" ht="15" customHeight="1">
      <c r="A13" s="1640"/>
      <c r="B13" s="1641" t="s">
        <v>9</v>
      </c>
      <c r="C13" s="1637"/>
      <c r="D13" s="998">
        <f>+'נספח 2 לטופס 1 - פירוט א'!G9+'נספח 2 לטופס 1 - פירוט א'!G10</f>
        <v>6466</v>
      </c>
      <c r="E13" s="1643"/>
      <c r="F13" s="1645">
        <v>4317</v>
      </c>
      <c r="G13" s="1643"/>
      <c r="H13" s="998">
        <f>IF( 'נספח 2 לטופס 1 - פירוט א'!$G$14&lt;&gt;0,'נספח 2 לטופס 1 - פירוט א'!$G$14,'נספח 2 לטופס 1 - פירוט א'!$G$13)</f>
        <v>36</v>
      </c>
      <c r="I13" s="1643"/>
      <c r="J13" s="2672">
        <v>26</v>
      </c>
      <c r="K13" s="1628"/>
      <c r="L13" s="1622"/>
    </row>
    <row r="14" spans="1:12" ht="15" customHeight="1">
      <c r="A14" s="1640"/>
      <c r="B14" s="1641" t="s">
        <v>101</v>
      </c>
      <c r="C14" s="1637"/>
      <c r="D14" s="1645">
        <v>-4609</v>
      </c>
      <c r="E14" s="1643"/>
      <c r="F14" s="1645">
        <v>-2902</v>
      </c>
      <c r="G14" s="1643"/>
      <c r="H14" s="1645"/>
      <c r="I14" s="1643"/>
      <c r="J14" s="2672"/>
      <c r="K14" s="1628"/>
      <c r="L14" s="1622"/>
    </row>
    <row r="15" spans="1:12" ht="15" customHeight="1">
      <c r="A15" s="1640"/>
      <c r="B15" s="1641" t="s">
        <v>102</v>
      </c>
      <c r="C15" s="1637"/>
      <c r="D15" s="2978">
        <f>SUM(D9:D14)</f>
        <v>153283</v>
      </c>
      <c r="E15" s="1643"/>
      <c r="F15" s="1652">
        <f>SUM(F9:F14)</f>
        <v>124613</v>
      </c>
      <c r="G15" s="1643"/>
      <c r="H15" s="1652">
        <f>SUM(H9:H14)</f>
        <v>1609</v>
      </c>
      <c r="I15" s="1643"/>
      <c r="J15" s="2671">
        <f>SUM(J9:J14)</f>
        <v>1561</v>
      </c>
      <c r="K15" s="1628"/>
      <c r="L15" s="1622"/>
    </row>
    <row r="16" spans="1:12" ht="15" customHeight="1">
      <c r="A16" s="1640"/>
      <c r="B16" s="1641" t="s">
        <v>103</v>
      </c>
      <c r="C16" s="1637"/>
      <c r="D16" s="2979">
        <f>'נספח 2 לטופס 1 - פירוט ג'!F12-'נספח 2 לטופס 1 - פירוט ג'!F11</f>
        <v>55765</v>
      </c>
      <c r="E16" s="1643"/>
      <c r="F16" s="1642">
        <v>43489</v>
      </c>
      <c r="G16" s="1643"/>
      <c r="H16" s="2979">
        <f>IF( 'נספח 2 לטופס 1 - פירוט ג'!$F$14&lt;&gt;0,'נספח 2 לטופס 1 - פירוט ג'!$F$14,'נספח 2 לטופס 1 - פירוט ג'!$F$13)</f>
        <v>832</v>
      </c>
      <c r="I16" s="1643"/>
      <c r="J16" s="2669">
        <v>773</v>
      </c>
      <c r="K16" s="1628"/>
      <c r="L16" s="1622"/>
    </row>
    <row r="17" spans="1:12" ht="15" customHeight="1" thickBot="1">
      <c r="A17" s="1640"/>
      <c r="B17" s="1647" t="s">
        <v>104</v>
      </c>
      <c r="C17" s="1637"/>
      <c r="D17" s="2675">
        <f>D15-D16</f>
        <v>97518</v>
      </c>
      <c r="E17" s="1643"/>
      <c r="F17" s="2675">
        <f>F15-F16</f>
        <v>81124</v>
      </c>
      <c r="G17" s="1643"/>
      <c r="H17" s="2675">
        <f>H15-H16</f>
        <v>777</v>
      </c>
      <c r="I17" s="1643"/>
      <c r="J17" s="2676">
        <f>J15-J16</f>
        <v>788</v>
      </c>
      <c r="K17" s="1628"/>
      <c r="L17" s="1622"/>
    </row>
    <row r="18" spans="1:12" ht="6.75" customHeight="1" thickTop="1">
      <c r="A18" s="1640"/>
      <c r="B18" s="1636"/>
      <c r="C18" s="1637"/>
      <c r="D18" s="1655"/>
      <c r="E18" s="1643"/>
      <c r="F18" s="1656"/>
      <c r="G18" s="1643"/>
      <c r="H18" s="1655"/>
      <c r="I18" s="1643"/>
      <c r="J18" s="1657"/>
      <c r="K18" s="1628"/>
      <c r="L18" s="1622"/>
    </row>
    <row r="19" spans="1:12" ht="15" customHeight="1">
      <c r="A19" s="1640"/>
      <c r="B19" s="1636" t="s">
        <v>105</v>
      </c>
      <c r="C19" s="1637"/>
      <c r="D19" s="1655"/>
      <c r="E19" s="1643"/>
      <c r="F19" s="1656"/>
      <c r="G19" s="1643"/>
      <c r="H19" s="1655"/>
      <c r="I19" s="1643"/>
      <c r="J19" s="1657"/>
      <c r="K19" s="1628"/>
      <c r="L19" s="1622"/>
    </row>
    <row r="20" spans="1:12" ht="15" customHeight="1">
      <c r="A20" s="1640"/>
      <c r="B20" s="1641" t="s">
        <v>106</v>
      </c>
      <c r="C20" s="1637"/>
      <c r="D20" s="998">
        <f>+'נספח 2 לטופס 1 - פירוט א'!E9+'נספח 2 לטופס 1 - פירוט א'!E10</f>
        <v>528610.79</v>
      </c>
      <c r="E20" s="1643"/>
      <c r="F20" s="1642">
        <v>520227</v>
      </c>
      <c r="G20" s="1643"/>
      <c r="H20" s="998">
        <f>IF( 'נספח 2 לטופס 1 - פירוט א'!$E$14&lt;&gt;0,'נספח 2 לטופס 1 - פירוט א'!$E$14,'נספח 2 לטופס 1 - פירוט א'!$E$13)</f>
        <v>0</v>
      </c>
      <c r="I20" s="1643"/>
      <c r="J20" s="2669"/>
      <c r="K20" s="1628"/>
      <c r="L20" s="1622"/>
    </row>
    <row r="21" spans="1:12" ht="15" customHeight="1">
      <c r="A21" s="1640"/>
      <c r="B21" s="2674" t="s">
        <v>99</v>
      </c>
      <c r="C21" s="1637"/>
      <c r="D21" s="1642">
        <v>2932</v>
      </c>
      <c r="E21" s="1643"/>
      <c r="F21" s="1645"/>
      <c r="G21" s="1643"/>
      <c r="H21" s="1642"/>
      <c r="I21" s="1643"/>
      <c r="J21" s="2670"/>
      <c r="K21" s="1628"/>
      <c r="L21" s="1622"/>
    </row>
    <row r="22" spans="1:12" ht="15" customHeight="1">
      <c r="A22" s="1640"/>
      <c r="B22" s="2674" t="s">
        <v>100</v>
      </c>
      <c r="C22" s="1637"/>
      <c r="D22" s="1642"/>
      <c r="E22" s="1643"/>
      <c r="F22" s="1645"/>
      <c r="G22" s="1643"/>
      <c r="H22" s="1642"/>
      <c r="I22" s="1643"/>
      <c r="J22" s="2670"/>
      <c r="K22" s="1628"/>
      <c r="L22" s="1622"/>
    </row>
    <row r="23" spans="1:12" ht="15" customHeight="1">
      <c r="A23" s="1640"/>
      <c r="B23" s="2674" t="s">
        <v>9</v>
      </c>
      <c r="C23" s="1637"/>
      <c r="D23" s="998">
        <f>+'נספח 2 לטופס 1 - פירוט א'!F9+'נספח 2 לטופס 1 - פירוט א'!F10</f>
        <v>1838</v>
      </c>
      <c r="E23" s="1643"/>
      <c r="F23" s="1645">
        <v>2341</v>
      </c>
      <c r="G23" s="1643"/>
      <c r="H23" s="998">
        <f>IF( 'נספח 2 לטופס 1 - פירוט א'!$F$14&lt;&gt;0,'נספח 2 לטופס 1 - פירוט א'!$F$14,'נספח 2 לטופס 1 - פירוט א'!$F$13)</f>
        <v>0</v>
      </c>
      <c r="I23" s="1643"/>
      <c r="J23" s="2670"/>
      <c r="K23" s="1628"/>
      <c r="L23" s="1622"/>
    </row>
    <row r="24" spans="1:12" ht="15" customHeight="1">
      <c r="A24" s="1640"/>
      <c r="B24" s="1641" t="s">
        <v>101</v>
      </c>
      <c r="C24" s="1637"/>
      <c r="D24" s="1645">
        <v>-42586</v>
      </c>
      <c r="E24" s="1643"/>
      <c r="F24" s="1645">
        <v>-43319</v>
      </c>
      <c r="G24" s="1643"/>
      <c r="H24" s="1645"/>
      <c r="I24" s="1643"/>
      <c r="J24" s="2670"/>
      <c r="K24" s="1628"/>
      <c r="L24" s="1622"/>
    </row>
    <row r="25" spans="1:12" ht="15" customHeight="1">
      <c r="A25" s="1640"/>
      <c r="B25" s="1641" t="s">
        <v>107</v>
      </c>
      <c r="C25" s="1637"/>
      <c r="D25" s="1652">
        <f>SUM(D20:D24)</f>
        <v>490794.79000000004</v>
      </c>
      <c r="E25" s="1643"/>
      <c r="F25" s="1652">
        <f>SUM(F20:F24)</f>
        <v>479249</v>
      </c>
      <c r="G25" s="1643"/>
      <c r="H25" s="1652">
        <f>SUM(H20:H24)</f>
        <v>0</v>
      </c>
      <c r="I25" s="1643"/>
      <c r="J25" s="2671">
        <f>SUM(J20:J24)</f>
        <v>0</v>
      </c>
      <c r="K25" s="1628"/>
      <c r="L25" s="1622"/>
    </row>
    <row r="26" spans="1:12" ht="8.25" customHeight="1">
      <c r="A26" s="1628"/>
      <c r="B26" s="1641"/>
      <c r="C26" s="1637"/>
      <c r="D26" s="1655"/>
      <c r="E26" s="1643"/>
      <c r="F26" s="1656"/>
      <c r="G26" s="1643"/>
      <c r="H26" s="1655"/>
      <c r="I26" s="1643"/>
      <c r="J26" s="1657"/>
      <c r="K26" s="1628"/>
      <c r="L26" s="1622"/>
    </row>
    <row r="27" spans="1:12" ht="15" customHeight="1">
      <c r="A27" s="1628"/>
      <c r="B27" s="2673" t="s">
        <v>108</v>
      </c>
      <c r="C27" s="1637"/>
      <c r="D27" s="1655"/>
      <c r="E27" s="1643"/>
      <c r="F27" s="1656"/>
      <c r="G27" s="1643"/>
      <c r="H27" s="1655"/>
      <c r="I27" s="1643"/>
      <c r="J27" s="1657"/>
      <c r="K27" s="1628"/>
      <c r="L27" s="1622"/>
    </row>
    <row r="28" spans="1:12" ht="15" hidden="1" customHeight="1">
      <c r="A28" s="1628"/>
      <c r="B28" s="2674" t="s">
        <v>109</v>
      </c>
      <c r="C28" s="1637"/>
      <c r="D28" s="1642"/>
      <c r="E28" s="1643"/>
      <c r="F28" s="1642"/>
      <c r="G28" s="1643"/>
      <c r="H28" s="1642"/>
      <c r="I28" s="1643"/>
      <c r="J28" s="2669"/>
      <c r="K28" s="1628"/>
      <c r="L28" s="1622"/>
    </row>
    <row r="29" spans="1:12" ht="16.5" customHeight="1">
      <c r="A29" s="1640"/>
      <c r="B29" s="1641" t="s">
        <v>105</v>
      </c>
      <c r="C29" s="1637"/>
      <c r="D29" s="998">
        <f>+'נספח 2 לטופס 1 - פירוט ג'!D9+'נספח 2 לטופס 1 - פירוט ג'!D10</f>
        <v>436212</v>
      </c>
      <c r="E29" s="1643"/>
      <c r="F29" s="1642">
        <v>410344</v>
      </c>
      <c r="G29" s="1643"/>
      <c r="H29" s="998">
        <f>IF( 'נספח 2 לטופס 1 - פירוט ג'!$D$14&lt;&gt;0,'נספח 2 לטופס 1 - פירוט ג'!$D$14,'נספח 2 לטופס 1 - פירוט ג'!$D$13)</f>
        <v>0</v>
      </c>
      <c r="I29" s="1643"/>
      <c r="J29" s="2669"/>
      <c r="K29" s="1628"/>
      <c r="L29" s="1622"/>
    </row>
    <row r="30" spans="1:12" ht="16.5" customHeight="1">
      <c r="A30" s="1640"/>
      <c r="B30" s="1641" t="s">
        <v>110</v>
      </c>
      <c r="C30" s="1637"/>
      <c r="D30" s="1652">
        <f>SUM(D28:D29)</f>
        <v>436212</v>
      </c>
      <c r="E30" s="1643"/>
      <c r="F30" s="1652">
        <f>SUM(F28:F29)</f>
        <v>410344</v>
      </c>
      <c r="G30" s="1643"/>
      <c r="H30" s="1652">
        <f>SUM(H28:H29)</f>
        <v>0</v>
      </c>
      <c r="I30" s="1643"/>
      <c r="J30" s="2671">
        <f>SUM(J28:J29)</f>
        <v>0</v>
      </c>
      <c r="K30" s="1628"/>
      <c r="L30" s="1622"/>
    </row>
    <row r="31" spans="1:12" ht="6" customHeight="1">
      <c r="A31" s="1640"/>
      <c r="B31" s="1641"/>
      <c r="C31" s="1637"/>
      <c r="D31" s="1655"/>
      <c r="E31" s="1643"/>
      <c r="F31" s="1655"/>
      <c r="G31" s="1643"/>
      <c r="H31" s="1655"/>
      <c r="I31" s="1643"/>
      <c r="J31" s="2677"/>
      <c r="K31" s="1628"/>
      <c r="L31" s="1622"/>
    </row>
    <row r="32" spans="1:12" ht="16.5" customHeight="1">
      <c r="A32" s="1640"/>
      <c r="B32" s="1641" t="s">
        <v>111</v>
      </c>
      <c r="C32" s="1637"/>
      <c r="D32" s="2678">
        <f>D25-D30</f>
        <v>54582.790000000037</v>
      </c>
      <c r="E32" s="1643"/>
      <c r="F32" s="2678">
        <f>F25-F30</f>
        <v>68905</v>
      </c>
      <c r="G32" s="1643"/>
      <c r="H32" s="2678">
        <f>H25-H30</f>
        <v>0</v>
      </c>
      <c r="I32" s="1643"/>
      <c r="J32" s="2679">
        <f>J25-J30</f>
        <v>0</v>
      </c>
      <c r="K32" s="1628"/>
      <c r="L32" s="1622"/>
    </row>
    <row r="33" spans="1:12" ht="5.25" customHeight="1">
      <c r="A33" s="1640"/>
      <c r="B33" s="1641"/>
      <c r="C33" s="1637"/>
      <c r="D33" s="2680"/>
      <c r="E33" s="1643"/>
      <c r="F33" s="2680"/>
      <c r="G33" s="1643"/>
      <c r="H33" s="2680"/>
      <c r="I33" s="1643"/>
      <c r="J33" s="2681"/>
      <c r="K33" s="1628"/>
      <c r="L33" s="1622"/>
    </row>
    <row r="34" spans="1:12" ht="16.5" customHeight="1" thickBot="1">
      <c r="A34" s="1640"/>
      <c r="B34" s="1641" t="s">
        <v>112</v>
      </c>
      <c r="C34" s="1637"/>
      <c r="D34" s="1660">
        <f>D17+D32</f>
        <v>152100.79000000004</v>
      </c>
      <c r="E34" s="1643"/>
      <c r="F34" s="1660">
        <f>F17+F32</f>
        <v>150029</v>
      </c>
      <c r="G34" s="1643"/>
      <c r="H34" s="1660">
        <f>H17+H32</f>
        <v>777</v>
      </c>
      <c r="I34" s="1643"/>
      <c r="J34" s="2682">
        <f>J17+J32</f>
        <v>788</v>
      </c>
      <c r="K34" s="1628"/>
      <c r="L34" s="1622"/>
    </row>
    <row r="35" spans="1:12" ht="6" customHeight="1" thickTop="1">
      <c r="A35" s="1640"/>
      <c r="B35" s="1641"/>
      <c r="C35" s="1637"/>
      <c r="D35" s="1655"/>
      <c r="E35" s="1643"/>
      <c r="F35" s="1655"/>
      <c r="G35" s="1643"/>
      <c r="H35" s="1655"/>
      <c r="I35" s="1643"/>
      <c r="J35" s="2677"/>
      <c r="K35" s="1628"/>
      <c r="L35" s="1622"/>
    </row>
    <row r="36" spans="1:12" ht="16.5" customHeight="1">
      <c r="A36" s="1640"/>
      <c r="B36" s="1641" t="s">
        <v>113</v>
      </c>
      <c r="C36" s="1637"/>
      <c r="D36" s="2683">
        <f>IF(D15&lt;&gt;0,ABS(D16)/D15,0)</f>
        <v>0.36380420529347679</v>
      </c>
      <c r="E36" s="1643"/>
      <c r="F36" s="2683">
        <f>IF(F15&lt;&gt;0,ABS(F16)/F15,0)</f>
        <v>0.34899248072031008</v>
      </c>
      <c r="G36" s="1643"/>
      <c r="H36" s="2683">
        <f>IF(H15&lt;&gt;0,ABS(H16)/H15,0)</f>
        <v>0.51709136109384712</v>
      </c>
      <c r="I36" s="1643"/>
      <c r="J36" s="2686">
        <f>IF(J15&lt;&gt;0,ABS(J16)/J15,0)</f>
        <v>0.49519538757206921</v>
      </c>
      <c r="K36" s="1628"/>
      <c r="L36" s="1622"/>
    </row>
    <row r="37" spans="1:12" ht="16.5" customHeight="1">
      <c r="A37" s="1640"/>
      <c r="B37" s="1641" t="s">
        <v>114</v>
      </c>
      <c r="C37" s="1637"/>
      <c r="D37" s="2684">
        <f>IF(D25&lt;&gt;0,ABS(D30)/D25,0)</f>
        <v>0.88878694087196808</v>
      </c>
      <c r="E37" s="1643"/>
      <c r="F37" s="2684">
        <f>IF(F25&lt;&gt;0,ABS(F30)/F25,0)</f>
        <v>0.85622296551479504</v>
      </c>
      <c r="G37" s="1643"/>
      <c r="H37" s="2684">
        <f>IF(H25&lt;&gt;0,ABS(H30)/H25,0)</f>
        <v>0</v>
      </c>
      <c r="I37" s="1643"/>
      <c r="J37" s="2687">
        <f>IF(J25&lt;&gt;0,ABS(J30)/J25,0)</f>
        <v>0</v>
      </c>
      <c r="K37" s="1628"/>
      <c r="L37" s="1622"/>
    </row>
    <row r="38" spans="1:12" ht="16.5" customHeight="1">
      <c r="A38" s="1640"/>
      <c r="B38" s="1641" t="s">
        <v>115</v>
      </c>
      <c r="C38" s="1637"/>
      <c r="D38" s="2685">
        <f>IF(D15+D25&lt;&gt;0,ABS(D16+D29)/(D15+D25),0)</f>
        <v>0.76384717442282857</v>
      </c>
      <c r="E38" s="1643"/>
      <c r="F38" s="2685">
        <f>IF(F15+F25&lt;&gt;0,ABS(F16+F29)/(F15+F25),0)</f>
        <v>0.75155085102225339</v>
      </c>
      <c r="G38" s="1643"/>
      <c r="H38" s="2685">
        <f>IF(H15+H25&lt;&gt;0,ABS(H16+H29)/(H15+H25),0)</f>
        <v>0.51709136109384712</v>
      </c>
      <c r="I38" s="1643"/>
      <c r="J38" s="2688">
        <f>IF(J15+J25&lt;&gt;0,ABS(J16+J29)/(J15+J25),0)</f>
        <v>0.49519538757206921</v>
      </c>
      <c r="K38" s="1628"/>
      <c r="L38" s="1622"/>
    </row>
    <row r="39" spans="1:12" ht="12" customHeight="1">
      <c r="A39" s="1628"/>
      <c r="B39" s="1663"/>
      <c r="C39" s="1664"/>
      <c r="D39" s="1664"/>
      <c r="E39" s="1664"/>
      <c r="F39" s="1664"/>
      <c r="G39" s="1664"/>
      <c r="H39" s="1664"/>
      <c r="I39" s="1664"/>
      <c r="J39" s="1665"/>
      <c r="K39" s="1628"/>
      <c r="L39" s="1622"/>
    </row>
    <row r="40" spans="1:12" ht="9" customHeight="1">
      <c r="A40" s="1628"/>
      <c r="B40" s="1628"/>
      <c r="C40" s="1628"/>
      <c r="D40" s="1628"/>
      <c r="E40" s="1628"/>
      <c r="F40" s="1628"/>
      <c r="G40" s="1628"/>
      <c r="H40" s="1628"/>
      <c r="I40" s="1628"/>
      <c r="J40" s="1628"/>
      <c r="K40" s="1628"/>
      <c r="L40" s="1622"/>
    </row>
    <row r="41" spans="1:12" ht="5.25" customHeight="1">
      <c r="A41" s="1628"/>
      <c r="B41" s="1628"/>
      <c r="C41" s="1628"/>
      <c r="D41" s="1666"/>
      <c r="E41" s="195"/>
      <c r="F41" s="195"/>
      <c r="G41" s="195"/>
      <c r="H41" s="195"/>
      <c r="I41" s="195"/>
      <c r="J41" s="195"/>
      <c r="K41" s="1628"/>
      <c r="L41" s="1622"/>
    </row>
    <row r="42" spans="1:12" ht="9" customHeight="1">
      <c r="A42" s="1667"/>
      <c r="B42" s="1667"/>
      <c r="C42" s="1667"/>
      <c r="D42" s="1668"/>
      <c r="E42" s="195"/>
      <c r="F42" s="195"/>
      <c r="G42" s="195"/>
      <c r="H42" s="195"/>
      <c r="I42" s="195"/>
      <c r="J42" s="195"/>
      <c r="K42" s="1628"/>
      <c r="L42" s="1622"/>
    </row>
    <row r="43" spans="1:12">
      <c r="A43" s="1628"/>
      <c r="B43" s="2693" t="s">
        <v>121</v>
      </c>
      <c r="C43" s="1670"/>
      <c r="D43" s="1671"/>
      <c r="E43" s="1672"/>
      <c r="F43" s="1670"/>
      <c r="G43" s="1670"/>
      <c r="H43" s="1673" t="s">
        <v>116</v>
      </c>
      <c r="I43" s="1674"/>
      <c r="J43" s="1675" t="s">
        <v>116</v>
      </c>
      <c r="K43" s="1628"/>
      <c r="L43" s="1622"/>
    </row>
    <row r="44" spans="1:12" ht="9.9" customHeight="1">
      <c r="A44" s="1628"/>
      <c r="B44" s="1641"/>
      <c r="C44" s="1637"/>
      <c r="D44" s="1638"/>
      <c r="E44" s="1676"/>
      <c r="F44" s="1637"/>
      <c r="G44" s="1637"/>
      <c r="H44" s="1676"/>
      <c r="I44" s="1676"/>
      <c r="J44" s="1639"/>
      <c r="K44" s="1628"/>
      <c r="L44" s="1622"/>
    </row>
    <row r="45" spans="1:12" ht="15.75" customHeight="1">
      <c r="A45" s="1628"/>
      <c r="B45" s="1641" t="s">
        <v>117</v>
      </c>
      <c r="C45" s="1637"/>
      <c r="D45" s="1638"/>
      <c r="E45" s="1676"/>
      <c r="F45" s="1637"/>
      <c r="G45" s="1637"/>
      <c r="H45" s="1679"/>
      <c r="I45" s="1676"/>
      <c r="J45" s="1680"/>
      <c r="K45" s="1628"/>
      <c r="L45" s="1622"/>
    </row>
    <row r="46" spans="1:12" ht="15.75" customHeight="1">
      <c r="A46" s="1628"/>
      <c r="B46" s="1641" t="s">
        <v>118</v>
      </c>
      <c r="C46" s="1637"/>
      <c r="D46" s="1638"/>
      <c r="E46" s="1676"/>
      <c r="F46" s="1637"/>
      <c r="G46" s="1637"/>
      <c r="H46" s="1679"/>
      <c r="I46" s="1676"/>
      <c r="J46" s="1680"/>
      <c r="K46" s="1628"/>
      <c r="L46" s="1622"/>
    </row>
    <row r="47" spans="1:12" ht="15.75" customHeight="1" thickBot="1">
      <c r="A47" s="1628"/>
      <c r="B47" s="1641" t="s">
        <v>119</v>
      </c>
      <c r="C47" s="1637"/>
      <c r="D47" s="1638"/>
      <c r="E47" s="1676"/>
      <c r="F47" s="1637"/>
      <c r="G47" s="1637"/>
      <c r="H47" s="2689">
        <f>H45-H46</f>
        <v>0</v>
      </c>
      <c r="I47" s="1676"/>
      <c r="J47" s="2690">
        <f>J45-J46</f>
        <v>0</v>
      </c>
      <c r="K47" s="1628"/>
      <c r="L47" s="1622"/>
    </row>
    <row r="48" spans="1:12" ht="15.75" customHeight="1" thickTop="1">
      <c r="A48" s="1628"/>
      <c r="B48" s="1641" t="s">
        <v>120</v>
      </c>
      <c r="C48" s="1637"/>
      <c r="D48" s="1638"/>
      <c r="E48" s="1676"/>
      <c r="F48" s="1681"/>
      <c r="G48" s="1637"/>
      <c r="H48" s="2691">
        <f>IF(H45&lt;&gt;0,H47/H45,0)</f>
        <v>0</v>
      </c>
      <c r="I48" s="1676"/>
      <c r="J48" s="2692">
        <f>IF(J45&lt;&gt;0,J47/J45,0)</f>
        <v>0</v>
      </c>
      <c r="K48" s="1628"/>
      <c r="L48" s="1622"/>
    </row>
    <row r="49" spans="1:12" ht="15.75" customHeight="1">
      <c r="A49" s="1628"/>
      <c r="B49" s="1663"/>
      <c r="C49" s="1664"/>
      <c r="D49" s="1684"/>
      <c r="E49" s="1685"/>
      <c r="F49" s="1686"/>
      <c r="G49" s="1686"/>
      <c r="H49" s="1686"/>
      <c r="I49" s="1686"/>
      <c r="J49" s="1687"/>
      <c r="K49" s="1628"/>
      <c r="L49" s="1622"/>
    </row>
    <row r="50" spans="1:12" ht="2.25" customHeight="1">
      <c r="A50" s="1628"/>
      <c r="B50" s="1637"/>
      <c r="C50" s="1637"/>
      <c r="D50" s="1638"/>
      <c r="E50" s="1676"/>
      <c r="F50" s="1681"/>
      <c r="G50" s="1681"/>
      <c r="H50" s="1681"/>
      <c r="I50" s="1681"/>
      <c r="J50" s="1681"/>
      <c r="K50" s="1628"/>
      <c r="L50" s="1622"/>
    </row>
    <row r="51" spans="1:12" ht="15.75" customHeight="1">
      <c r="A51" s="1628"/>
      <c r="B51" s="1002" t="s">
        <v>350</v>
      </c>
      <c r="C51" s="1637"/>
      <c r="D51" s="1638"/>
      <c r="E51" s="1676"/>
      <c r="F51" s="1681"/>
      <c r="G51" s="1681"/>
      <c r="H51" s="1681"/>
      <c r="I51" s="1681"/>
      <c r="J51" s="1681"/>
      <c r="K51" s="1628"/>
      <c r="L51" s="1622"/>
    </row>
    <row r="52" spans="1:12" ht="12" customHeight="1" thickBot="1">
      <c r="A52" s="1628"/>
      <c r="B52" s="1628"/>
      <c r="C52" s="1628"/>
      <c r="D52" s="1628"/>
      <c r="E52" s="1628"/>
      <c r="F52" s="1628"/>
      <c r="G52" s="1628"/>
      <c r="H52" s="1628"/>
      <c r="I52" s="1628"/>
      <c r="J52" s="1628"/>
      <c r="K52" s="1628"/>
      <c r="L52" s="1622"/>
    </row>
    <row r="53" spans="1:12" ht="13.8" thickTop="1">
      <c r="A53" s="1688"/>
      <c r="B53" s="1688"/>
      <c r="C53" s="1688"/>
      <c r="D53" s="1689"/>
      <c r="E53" s="1690"/>
      <c r="F53" s="1688"/>
      <c r="G53" s="1688"/>
      <c r="H53" s="1690"/>
      <c r="I53" s="1690"/>
      <c r="J53" s="1688"/>
      <c r="K53" s="1688"/>
    </row>
    <row r="54" spans="1:12" ht="12" customHeight="1">
      <c r="E54" s="1692"/>
      <c r="H54" s="1692"/>
      <c r="I54" s="1692"/>
    </row>
    <row r="55" spans="1:12">
      <c r="B55" s="1693"/>
      <c r="E55" s="1692"/>
      <c r="H55" s="1692"/>
      <c r="I55" s="1692"/>
    </row>
    <row r="56" spans="1:12">
      <c r="E56" s="1692"/>
      <c r="H56" s="1692"/>
      <c r="I56" s="1692"/>
    </row>
    <row r="57" spans="1:12">
      <c r="E57" s="1692"/>
      <c r="H57" s="1692"/>
      <c r="I57" s="1692"/>
    </row>
    <row r="58" spans="1:12">
      <c r="E58" s="1692"/>
      <c r="H58" s="1692"/>
      <c r="I58" s="1692"/>
    </row>
    <row r="59" spans="1:12">
      <c r="E59" s="1692"/>
      <c r="H59" s="1692"/>
      <c r="I59" s="1692"/>
    </row>
    <row r="60" spans="1:12">
      <c r="E60" s="1692"/>
      <c r="H60" s="1692"/>
      <c r="I60" s="1692"/>
    </row>
    <row r="61" spans="1:12">
      <c r="E61" s="1692"/>
      <c r="H61" s="1692"/>
      <c r="I61" s="1692"/>
    </row>
    <row r="62" spans="1:12">
      <c r="E62" s="1692"/>
      <c r="H62" s="1692"/>
      <c r="I62" s="1692"/>
    </row>
    <row r="63" spans="1:12">
      <c r="E63" s="1692"/>
      <c r="H63" s="1692"/>
      <c r="I63" s="1692"/>
    </row>
    <row r="64" spans="1:12">
      <c r="E64" s="1692"/>
      <c r="H64" s="1692"/>
      <c r="I64" s="1692"/>
    </row>
    <row r="65" spans="5:9">
      <c r="E65" s="1692"/>
      <c r="H65" s="1692"/>
      <c r="I65" s="1692"/>
    </row>
    <row r="66" spans="5:9">
      <c r="E66" s="1692"/>
      <c r="H66" s="1692"/>
      <c r="I66" s="1692"/>
    </row>
    <row r="67" spans="5:9">
      <c r="E67" s="1692"/>
      <c r="H67" s="1692"/>
      <c r="I67" s="1692"/>
    </row>
    <row r="68" spans="5:9">
      <c r="E68" s="1692"/>
      <c r="H68" s="1692"/>
      <c r="I68" s="1692"/>
    </row>
    <row r="69" spans="5:9">
      <c r="E69" s="1692"/>
      <c r="H69" s="1692"/>
      <c r="I69" s="1692"/>
    </row>
    <row r="70" spans="5:9">
      <c r="E70" s="1692"/>
      <c r="H70" s="1692"/>
      <c r="I70" s="1692"/>
    </row>
    <row r="71" spans="5:9">
      <c r="E71" s="1692"/>
      <c r="H71" s="1692"/>
      <c r="I71" s="1692"/>
    </row>
    <row r="72" spans="5:9">
      <c r="E72" s="1692"/>
      <c r="H72" s="1692"/>
      <c r="I72" s="1692"/>
    </row>
    <row r="73" spans="5:9">
      <c r="E73" s="1692"/>
      <c r="H73" s="1692"/>
      <c r="I73" s="1692"/>
    </row>
    <row r="74" spans="5:9">
      <c r="E74" s="1692"/>
      <c r="H74" s="1692"/>
      <c r="I74" s="1692"/>
    </row>
    <row r="75" spans="5:9">
      <c r="E75" s="1692"/>
      <c r="H75" s="1692"/>
      <c r="I75" s="1692"/>
    </row>
    <row r="76" spans="5:9">
      <c r="E76" s="1692"/>
      <c r="H76" s="1692"/>
      <c r="I76" s="1692"/>
    </row>
    <row r="77" spans="5:9">
      <c r="E77" s="1692"/>
      <c r="H77" s="1692"/>
      <c r="I77" s="1692"/>
    </row>
    <row r="78" spans="5:9">
      <c r="E78" s="1692"/>
      <c r="H78" s="1692"/>
      <c r="I78" s="1692"/>
    </row>
    <row r="79" spans="5:9">
      <c r="E79" s="1692"/>
      <c r="H79" s="1692"/>
      <c r="I79" s="1692"/>
    </row>
    <row r="80" spans="5:9">
      <c r="E80" s="1692"/>
      <c r="H80" s="1692"/>
      <c r="I80" s="1692"/>
    </row>
    <row r="81" spans="5:9">
      <c r="E81" s="1692"/>
      <c r="H81" s="1692"/>
      <c r="I81" s="1692"/>
    </row>
    <row r="82" spans="5:9">
      <c r="E82" s="1692"/>
      <c r="H82" s="1692"/>
      <c r="I82" s="1692"/>
    </row>
    <row r="83" spans="5:9">
      <c r="E83" s="1692"/>
      <c r="H83" s="1692"/>
      <c r="I83" s="1692"/>
    </row>
    <row r="84" spans="5:9">
      <c r="E84" s="1692"/>
      <c r="H84" s="1692"/>
      <c r="I84" s="1692"/>
    </row>
    <row r="85" spans="5:9">
      <c r="E85" s="1692"/>
      <c r="H85" s="1692"/>
      <c r="I85" s="1692"/>
    </row>
    <row r="86" spans="5:9">
      <c r="E86" s="1692"/>
      <c r="H86" s="1692"/>
      <c r="I86" s="1692"/>
    </row>
    <row r="87" spans="5:9">
      <c r="E87" s="1692"/>
      <c r="H87" s="1692"/>
      <c r="I87" s="1692"/>
    </row>
    <row r="88" spans="5:9">
      <c r="E88" s="1692"/>
      <c r="H88" s="1692"/>
      <c r="I88" s="1692"/>
    </row>
    <row r="89" spans="5:9">
      <c r="E89" s="1692"/>
      <c r="H89" s="1692"/>
      <c r="I89" s="1692"/>
    </row>
    <row r="90" spans="5:9">
      <c r="E90" s="1692"/>
      <c r="H90" s="1692"/>
      <c r="I90" s="1692"/>
    </row>
    <row r="91" spans="5:9">
      <c r="E91" s="1692"/>
      <c r="H91" s="1692"/>
      <c r="I91" s="1692"/>
    </row>
    <row r="92" spans="5:9">
      <c r="E92" s="1692"/>
      <c r="H92" s="1692"/>
      <c r="I92" s="1692"/>
    </row>
    <row r="93" spans="5:9">
      <c r="E93" s="1692"/>
      <c r="H93" s="1692"/>
      <c r="I93" s="1692"/>
    </row>
    <row r="94" spans="5:9">
      <c r="E94" s="1692"/>
      <c r="H94" s="1692"/>
      <c r="I94" s="1692"/>
    </row>
    <row r="95" spans="5:9">
      <c r="E95" s="1692"/>
      <c r="H95" s="1692"/>
      <c r="I95" s="1692"/>
    </row>
    <row r="96" spans="5:9">
      <c r="E96" s="1692"/>
      <c r="H96" s="1692"/>
      <c r="I96" s="1692"/>
    </row>
    <row r="97" spans="5:9">
      <c r="E97" s="1692"/>
      <c r="H97" s="1692"/>
      <c r="I97" s="1692"/>
    </row>
    <row r="98" spans="5:9">
      <c r="E98" s="1692"/>
      <c r="H98" s="1692"/>
      <c r="I98" s="1692"/>
    </row>
    <row r="99" spans="5:9">
      <c r="E99" s="1692"/>
      <c r="H99" s="1692"/>
      <c r="I99" s="1692"/>
    </row>
    <row r="100" spans="5:9">
      <c r="H100" s="1692"/>
      <c r="I100" s="1692"/>
    </row>
    <row r="101" spans="5:9">
      <c r="H101" s="1692"/>
      <c r="I101" s="1692"/>
    </row>
    <row r="102" spans="5:9">
      <c r="H102" s="1692"/>
      <c r="I102" s="1692"/>
    </row>
    <row r="103" spans="5:9">
      <c r="H103" s="1692"/>
      <c r="I103" s="1692"/>
    </row>
    <row r="104" spans="5:9">
      <c r="H104" s="1692"/>
      <c r="I104" s="1692"/>
    </row>
    <row r="105" spans="5:9">
      <c r="H105" s="1692"/>
      <c r="I105" s="1692"/>
    </row>
    <row r="106" spans="5:9">
      <c r="H106" s="1692"/>
      <c r="I106" s="1692"/>
    </row>
    <row r="107" spans="5:9">
      <c r="H107" s="1692"/>
      <c r="I107" s="1692"/>
    </row>
    <row r="108" spans="5:9">
      <c r="H108" s="1692"/>
      <c r="I108" s="1692"/>
    </row>
    <row r="109" spans="5:9">
      <c r="H109" s="1692"/>
      <c r="I109" s="1692"/>
    </row>
    <row r="110" spans="5:9">
      <c r="H110" s="1692"/>
      <c r="I110" s="1692"/>
    </row>
    <row r="111" spans="5:9">
      <c r="H111" s="1692"/>
      <c r="I111" s="1692"/>
    </row>
    <row r="112" spans="5:9">
      <c r="H112" s="1692"/>
      <c r="I112" s="1692"/>
    </row>
    <row r="113" spans="8:9">
      <c r="H113" s="1692"/>
      <c r="I113" s="1692"/>
    </row>
    <row r="114" spans="8:9">
      <c r="H114" s="1692"/>
      <c r="I114" s="1692"/>
    </row>
    <row r="115" spans="8:9">
      <c r="H115" s="1692"/>
      <c r="I115" s="1692"/>
    </row>
    <row r="116" spans="8:9">
      <c r="H116" s="1692"/>
      <c r="I116" s="1692"/>
    </row>
    <row r="117" spans="8:9">
      <c r="H117" s="1692"/>
      <c r="I117" s="1692"/>
    </row>
    <row r="118" spans="8:9">
      <c r="H118" s="1692"/>
      <c r="I118" s="1692"/>
    </row>
    <row r="119" spans="8:9">
      <c r="H119" s="1692"/>
      <c r="I119" s="1692"/>
    </row>
    <row r="197" spans="1:10" ht="15.6">
      <c r="B197" s="3554" t="str">
        <f>D1</f>
        <v>עירית הרצליה</v>
      </c>
      <c r="C197" s="3554"/>
      <c r="D197" s="3554"/>
      <c r="E197" s="3554"/>
      <c r="F197" s="3554"/>
      <c r="G197" s="3554"/>
      <c r="H197" s="3554"/>
      <c r="I197" s="3554"/>
      <c r="J197" s="3554"/>
    </row>
    <row r="198" spans="1:10" ht="15.6">
      <c r="B198" s="3554" t="str">
        <f>C2</f>
        <v>הדוח הכספי לשנת 2015</v>
      </c>
      <c r="C198" s="3554"/>
      <c r="D198" s="3554"/>
      <c r="E198" s="3554"/>
      <c r="F198" s="3554"/>
      <c r="G198" s="3554"/>
      <c r="H198" s="3554"/>
      <c r="I198" s="3554"/>
      <c r="J198" s="3554"/>
    </row>
    <row r="199" spans="1:10" ht="15.6">
      <c r="B199" s="3553" t="str">
        <f>D3</f>
        <v xml:space="preserve">דוח גביה ויתרות חייבים ליום 31 בדצמבר 2015 (אלפי ש''ח) </v>
      </c>
      <c r="C199" s="3554"/>
      <c r="D199" s="3554"/>
      <c r="E199" s="3554"/>
      <c r="F199" s="3554"/>
      <c r="G199" s="3554"/>
      <c r="H199" s="3554"/>
      <c r="I199" s="3554"/>
      <c r="J199" s="3554"/>
    </row>
    <row r="200" spans="1:10" ht="2.25" customHeight="1"/>
    <row r="201" spans="1:10" ht="3" customHeight="1"/>
    <row r="202" spans="1:10" ht="3" customHeight="1"/>
    <row r="203" spans="1:10" ht="15" customHeight="1">
      <c r="B203" s="3555" t="str">
        <f>B5</f>
        <v>נתוני גביה מים וארנונה</v>
      </c>
      <c r="C203" s="1695">
        <f>C5</f>
        <v>0</v>
      </c>
      <c r="D203" s="3556" t="str">
        <f>D5</f>
        <v>ארנונה כללית</v>
      </c>
      <c r="E203" s="3556"/>
      <c r="F203" s="3556"/>
      <c r="G203" s="1694">
        <f>G5</f>
        <v>0</v>
      </c>
      <c r="H203" s="3557" t="str">
        <f>H5</f>
        <v>מים</v>
      </c>
      <c r="I203" s="3557"/>
      <c r="J203" s="3557"/>
    </row>
    <row r="204" spans="1:10" ht="15" customHeight="1">
      <c r="B204" s="3495"/>
      <c r="C204" s="1695">
        <f>C6</f>
        <v>0</v>
      </c>
      <c r="D204" s="2695">
        <f>D6</f>
        <v>2015</v>
      </c>
      <c r="E204" s="2695">
        <f>E6</f>
        <v>0</v>
      </c>
      <c r="F204" s="2695">
        <f>F6</f>
        <v>2014</v>
      </c>
      <c r="G204" s="2695">
        <f>G6</f>
        <v>0</v>
      </c>
      <c r="H204" s="2695">
        <f>H6</f>
        <v>2015</v>
      </c>
      <c r="I204" s="2695">
        <f>I6</f>
        <v>0</v>
      </c>
      <c r="J204" s="2695">
        <f>J6</f>
        <v>2014</v>
      </c>
    </row>
    <row r="205" spans="1:10" ht="15" customHeight="1">
      <c r="A205" s="1623">
        <f t="shared" ref="A205:J205" si="0">A8</f>
        <v>0</v>
      </c>
      <c r="B205" s="1694" t="str">
        <f t="shared" si="0"/>
        <v>גבית פיגורים</v>
      </c>
      <c r="C205" s="1695">
        <f t="shared" si="0"/>
        <v>0</v>
      </c>
      <c r="D205" s="1708">
        <f t="shared" si="0"/>
        <v>0</v>
      </c>
      <c r="E205" s="1708">
        <f t="shared" si="0"/>
        <v>0</v>
      </c>
      <c r="F205" s="1708">
        <f t="shared" si="0"/>
        <v>0</v>
      </c>
      <c r="G205" s="1708">
        <f t="shared" si="0"/>
        <v>0</v>
      </c>
      <c r="H205" s="1708">
        <f t="shared" si="0"/>
        <v>0</v>
      </c>
      <c r="I205" s="1708">
        <f t="shared" si="0"/>
        <v>0</v>
      </c>
      <c r="J205" s="1708">
        <f t="shared" si="0"/>
        <v>0</v>
      </c>
    </row>
    <row r="206" spans="1:10" ht="15" customHeight="1">
      <c r="A206" s="1623">
        <f t="shared" ref="A206:J207" si="1">A9</f>
        <v>0</v>
      </c>
      <c r="B206" s="1695" t="str">
        <f>IF(AND($D9=0,$F9=0,$H9=0,$J9=0),0,$B9)</f>
        <v>יתרת פיגורים ריאלית לתחילת שנה</v>
      </c>
      <c r="C206" s="1695">
        <f t="shared" si="1"/>
        <v>0</v>
      </c>
      <c r="D206" s="1696">
        <f t="shared" si="1"/>
        <v>150029</v>
      </c>
      <c r="E206" s="1696">
        <f t="shared" si="1"/>
        <v>0</v>
      </c>
      <c r="F206" s="2696">
        <f t="shared" si="1"/>
        <v>134943</v>
      </c>
      <c r="G206" s="1696">
        <f t="shared" si="1"/>
        <v>0</v>
      </c>
      <c r="H206" s="1696">
        <f t="shared" si="1"/>
        <v>788</v>
      </c>
      <c r="I206" s="1696">
        <f t="shared" si="1"/>
        <v>0</v>
      </c>
      <c r="J206" s="2696">
        <f t="shared" si="1"/>
        <v>797</v>
      </c>
    </row>
    <row r="207" spans="1:10" ht="15" customHeight="1">
      <c r="A207" s="1623">
        <f t="shared" si="1"/>
        <v>0</v>
      </c>
      <c r="B207" s="1695">
        <f>IF(AND($D10=0,$F10=0,$H10=0,$J10=0),0,$B10)</f>
        <v>0</v>
      </c>
      <c r="C207" s="1695">
        <f t="shared" si="1"/>
        <v>0</v>
      </c>
      <c r="D207" s="1696">
        <f t="shared" si="1"/>
        <v>0</v>
      </c>
      <c r="E207" s="1696">
        <f t="shared" si="1"/>
        <v>0</v>
      </c>
      <c r="F207" s="2696">
        <f t="shared" si="1"/>
        <v>0</v>
      </c>
      <c r="G207" s="1696">
        <f t="shared" si="1"/>
        <v>0</v>
      </c>
      <c r="H207" s="1696">
        <f t="shared" si="1"/>
        <v>0</v>
      </c>
      <c r="I207" s="1696">
        <f t="shared" si="1"/>
        <v>0</v>
      </c>
      <c r="J207" s="2696">
        <f t="shared" si="1"/>
        <v>0</v>
      </c>
    </row>
    <row r="208" spans="1:10" ht="15" customHeight="1">
      <c r="A208" s="1623">
        <f t="shared" ref="A208:J208" si="2">A11</f>
        <v>0</v>
      </c>
      <c r="B208" s="1695" t="str">
        <f t="shared" ref="B208:B220" si="3">IF(AND($D11=0,$F11=0,$H11=0,$J11=0),0,$B11)</f>
        <v>חיוב / זיכוי נוסף</v>
      </c>
      <c r="C208" s="1695">
        <f t="shared" si="2"/>
        <v>0</v>
      </c>
      <c r="D208" s="1696">
        <f t="shared" si="2"/>
        <v>5637</v>
      </c>
      <c r="E208" s="1696">
        <f t="shared" si="2"/>
        <v>0</v>
      </c>
      <c r="F208" s="2696">
        <f t="shared" si="2"/>
        <v>-7294</v>
      </c>
      <c r="G208" s="1696">
        <f t="shared" si="2"/>
        <v>0</v>
      </c>
      <c r="H208" s="1696">
        <f t="shared" si="2"/>
        <v>0</v>
      </c>
      <c r="I208" s="1696">
        <f t="shared" si="2"/>
        <v>0</v>
      </c>
      <c r="J208" s="2696">
        <f t="shared" si="2"/>
        <v>1263</v>
      </c>
    </row>
    <row r="209" spans="1:10" ht="15" customHeight="1">
      <c r="A209" s="1623">
        <f t="shared" ref="A209:J210" si="4">A12</f>
        <v>0</v>
      </c>
      <c r="B209" s="1695" t="str">
        <f t="shared" si="3"/>
        <v>העברה לחובות מסופקים וחובות למחיקה</v>
      </c>
      <c r="C209" s="1695">
        <f t="shared" si="4"/>
        <v>0</v>
      </c>
      <c r="D209" s="1696">
        <f t="shared" si="4"/>
        <v>-4240</v>
      </c>
      <c r="E209" s="1696">
        <f t="shared" si="4"/>
        <v>0</v>
      </c>
      <c r="F209" s="2696">
        <f t="shared" si="4"/>
        <v>-4451</v>
      </c>
      <c r="G209" s="1696">
        <f t="shared" si="4"/>
        <v>0</v>
      </c>
      <c r="H209" s="1696">
        <f t="shared" si="4"/>
        <v>785</v>
      </c>
      <c r="I209" s="1696">
        <f t="shared" si="4"/>
        <v>0</v>
      </c>
      <c r="J209" s="2696">
        <f t="shared" si="4"/>
        <v>-525</v>
      </c>
    </row>
    <row r="210" spans="1:10" ht="15" customHeight="1">
      <c r="A210" s="1623">
        <f t="shared" si="4"/>
        <v>0</v>
      </c>
      <c r="B210" s="1695" t="str">
        <f t="shared" si="3"/>
        <v>חיובים במהלך התקופה בגין ריבית והצמדה</v>
      </c>
      <c r="C210" s="1695">
        <f t="shared" si="4"/>
        <v>0</v>
      </c>
      <c r="D210" s="1696">
        <f t="shared" si="4"/>
        <v>6466</v>
      </c>
      <c r="E210" s="1696">
        <f t="shared" si="4"/>
        <v>0</v>
      </c>
      <c r="F210" s="2696">
        <f t="shared" si="4"/>
        <v>4317</v>
      </c>
      <c r="G210" s="1696">
        <f t="shared" si="4"/>
        <v>0</v>
      </c>
      <c r="H210" s="1696">
        <f t="shared" si="4"/>
        <v>36</v>
      </c>
      <c r="I210" s="1696">
        <f t="shared" si="4"/>
        <v>0</v>
      </c>
      <c r="J210" s="2696">
        <f t="shared" si="4"/>
        <v>26</v>
      </c>
    </row>
    <row r="211" spans="1:10" ht="15" customHeight="1">
      <c r="A211" s="1623">
        <f t="shared" ref="A211:J211" si="5">A14</f>
        <v>0</v>
      </c>
      <c r="B211" s="1695" t="str">
        <f t="shared" si="3"/>
        <v>הנחות, פטורים, זיכויים ומחיקת חובות</v>
      </c>
      <c r="C211" s="1695">
        <f t="shared" si="5"/>
        <v>0</v>
      </c>
      <c r="D211" s="1696">
        <f t="shared" si="5"/>
        <v>-4609</v>
      </c>
      <c r="E211" s="1696">
        <f t="shared" si="5"/>
        <v>0</v>
      </c>
      <c r="F211" s="2696">
        <f t="shared" si="5"/>
        <v>-2902</v>
      </c>
      <c r="G211" s="1696">
        <f t="shared" si="5"/>
        <v>0</v>
      </c>
      <c r="H211" s="1696">
        <f t="shared" si="5"/>
        <v>0</v>
      </c>
      <c r="I211" s="1696">
        <f t="shared" si="5"/>
        <v>0</v>
      </c>
      <c r="J211" s="2696">
        <f t="shared" si="5"/>
        <v>0</v>
      </c>
    </row>
    <row r="212" spans="1:10" ht="15" customHeight="1">
      <c r="A212" s="1623">
        <f t="shared" ref="A212:J212" si="6">A15</f>
        <v>0</v>
      </c>
      <c r="B212" s="1695" t="str">
        <f t="shared" si="3"/>
        <v>סה"כ יתרת פיגורים (פוטנציאל הגביה)</v>
      </c>
      <c r="C212" s="1695">
        <f t="shared" si="6"/>
        <v>0</v>
      </c>
      <c r="D212" s="1701">
        <f t="shared" si="6"/>
        <v>153283</v>
      </c>
      <c r="E212" s="1696">
        <f t="shared" si="6"/>
        <v>0</v>
      </c>
      <c r="F212" s="2697">
        <f t="shared" si="6"/>
        <v>124613</v>
      </c>
      <c r="G212" s="1696">
        <f t="shared" si="6"/>
        <v>0</v>
      </c>
      <c r="H212" s="1701">
        <f t="shared" si="6"/>
        <v>1609</v>
      </c>
      <c r="I212" s="1696">
        <f t="shared" si="6"/>
        <v>0</v>
      </c>
      <c r="J212" s="2697">
        <f t="shared" si="6"/>
        <v>1561</v>
      </c>
    </row>
    <row r="213" spans="1:10" ht="15" customHeight="1">
      <c r="A213" s="1623">
        <f t="shared" ref="A213:J213" si="7">A16</f>
        <v>0</v>
      </c>
      <c r="B213" s="1695" t="str">
        <f t="shared" si="3"/>
        <v>גביה בגין פיגורים</v>
      </c>
      <c r="C213" s="1695">
        <f t="shared" si="7"/>
        <v>0</v>
      </c>
      <c r="D213" s="1696">
        <f t="shared" si="7"/>
        <v>55765</v>
      </c>
      <c r="E213" s="1696">
        <f t="shared" si="7"/>
        <v>0</v>
      </c>
      <c r="F213" s="2696">
        <f t="shared" si="7"/>
        <v>43489</v>
      </c>
      <c r="G213" s="1696">
        <f t="shared" si="7"/>
        <v>0</v>
      </c>
      <c r="H213" s="1696">
        <f t="shared" si="7"/>
        <v>832</v>
      </c>
      <c r="I213" s="1696">
        <f t="shared" si="7"/>
        <v>0</v>
      </c>
      <c r="J213" s="2696">
        <f t="shared" si="7"/>
        <v>773</v>
      </c>
    </row>
    <row r="214" spans="1:10" ht="15" customHeight="1" thickBot="1">
      <c r="A214" s="1623">
        <f t="shared" ref="A214:J214" si="8">A17</f>
        <v>0</v>
      </c>
      <c r="B214" s="1695" t="str">
        <f t="shared" si="3"/>
        <v>יתרת פיגורים בגין שנים קודמות</v>
      </c>
      <c r="C214" s="1695">
        <f t="shared" si="8"/>
        <v>0</v>
      </c>
      <c r="D214" s="1704">
        <f t="shared" si="8"/>
        <v>97518</v>
      </c>
      <c r="E214" s="1696">
        <f t="shared" si="8"/>
        <v>0</v>
      </c>
      <c r="F214" s="2698">
        <f t="shared" si="8"/>
        <v>81124</v>
      </c>
      <c r="G214" s="1696">
        <f t="shared" si="8"/>
        <v>0</v>
      </c>
      <c r="H214" s="1704">
        <f t="shared" si="8"/>
        <v>777</v>
      </c>
      <c r="I214" s="1696">
        <f t="shared" si="8"/>
        <v>0</v>
      </c>
      <c r="J214" s="2698">
        <f t="shared" si="8"/>
        <v>788</v>
      </c>
    </row>
    <row r="215" spans="1:10" ht="15" customHeight="1" thickTop="1">
      <c r="A215" s="1623">
        <f t="shared" ref="A215:J215" si="9">A18</f>
        <v>0</v>
      </c>
      <c r="B215" s="1695">
        <f t="shared" si="3"/>
        <v>0</v>
      </c>
      <c r="C215" s="1695">
        <f t="shared" si="9"/>
        <v>0</v>
      </c>
      <c r="D215" s="1696">
        <f t="shared" si="9"/>
        <v>0</v>
      </c>
      <c r="E215" s="1696">
        <f t="shared" si="9"/>
        <v>0</v>
      </c>
      <c r="F215" s="2696">
        <f t="shared" si="9"/>
        <v>0</v>
      </c>
      <c r="G215" s="1696">
        <f t="shared" si="9"/>
        <v>0</v>
      </c>
      <c r="H215" s="1696">
        <f t="shared" si="9"/>
        <v>0</v>
      </c>
      <c r="I215" s="1696">
        <f t="shared" si="9"/>
        <v>0</v>
      </c>
      <c r="J215" s="2696">
        <f t="shared" si="9"/>
        <v>0</v>
      </c>
    </row>
    <row r="216" spans="1:10" ht="15" customHeight="1">
      <c r="A216" s="1623">
        <f t="shared" ref="A216:J216" si="10">A19</f>
        <v>0</v>
      </c>
      <c r="B216" s="1695">
        <f t="shared" si="3"/>
        <v>0</v>
      </c>
      <c r="C216" s="1695">
        <f t="shared" si="10"/>
        <v>0</v>
      </c>
      <c r="D216" s="1696">
        <f t="shared" si="10"/>
        <v>0</v>
      </c>
      <c r="E216" s="1696">
        <f t="shared" si="10"/>
        <v>0</v>
      </c>
      <c r="F216" s="2696">
        <f t="shared" si="10"/>
        <v>0</v>
      </c>
      <c r="G216" s="1696">
        <f t="shared" si="10"/>
        <v>0</v>
      </c>
      <c r="H216" s="1696">
        <f t="shared" si="10"/>
        <v>0</v>
      </c>
      <c r="I216" s="1696">
        <f t="shared" si="10"/>
        <v>0</v>
      </c>
      <c r="J216" s="2696">
        <f t="shared" si="10"/>
        <v>0</v>
      </c>
    </row>
    <row r="217" spans="1:10" ht="15" customHeight="1">
      <c r="A217" s="1623">
        <f t="shared" ref="A217:J217" si="11">A20</f>
        <v>0</v>
      </c>
      <c r="B217" s="1694" t="str">
        <f t="shared" si="3"/>
        <v>חיוב תקופתי שוטף מצטבר</v>
      </c>
      <c r="C217" s="1695">
        <f t="shared" si="11"/>
        <v>0</v>
      </c>
      <c r="D217" s="1696">
        <f t="shared" si="11"/>
        <v>528610.79</v>
      </c>
      <c r="E217" s="1696">
        <f t="shared" si="11"/>
        <v>0</v>
      </c>
      <c r="F217" s="1696">
        <f t="shared" si="11"/>
        <v>520227</v>
      </c>
      <c r="G217" s="1696">
        <f t="shared" si="11"/>
        <v>0</v>
      </c>
      <c r="H217" s="1696">
        <f t="shared" si="11"/>
        <v>0</v>
      </c>
      <c r="I217" s="1696">
        <f t="shared" si="11"/>
        <v>0</v>
      </c>
      <c r="J217" s="1696">
        <f t="shared" si="11"/>
        <v>0</v>
      </c>
    </row>
    <row r="218" spans="1:10" ht="15" customHeight="1">
      <c r="A218" s="1623">
        <f t="shared" ref="A218:J220" si="12">A21</f>
        <v>0</v>
      </c>
      <c r="B218" s="1695" t="str">
        <f t="shared" si="3"/>
        <v>חיוב / זיכוי נוסף</v>
      </c>
      <c r="C218" s="1695">
        <f t="shared" si="12"/>
        <v>0</v>
      </c>
      <c r="D218" s="1696">
        <f t="shared" si="12"/>
        <v>2932</v>
      </c>
      <c r="E218" s="1696">
        <f t="shared" si="12"/>
        <v>0</v>
      </c>
      <c r="F218" s="2696">
        <f t="shared" si="12"/>
        <v>0</v>
      </c>
      <c r="G218" s="1696">
        <f t="shared" si="12"/>
        <v>0</v>
      </c>
      <c r="H218" s="1696">
        <f t="shared" si="12"/>
        <v>0</v>
      </c>
      <c r="I218" s="1696">
        <f t="shared" si="12"/>
        <v>0</v>
      </c>
      <c r="J218" s="2696">
        <f t="shared" si="12"/>
        <v>0</v>
      </c>
    </row>
    <row r="219" spans="1:10" ht="15" customHeight="1">
      <c r="A219" s="1623">
        <f t="shared" si="12"/>
        <v>0</v>
      </c>
      <c r="B219" s="1695">
        <f t="shared" si="3"/>
        <v>0</v>
      </c>
      <c r="C219" s="1695">
        <f t="shared" si="12"/>
        <v>0</v>
      </c>
      <c r="D219" s="1696">
        <f t="shared" si="12"/>
        <v>0</v>
      </c>
      <c r="E219" s="1696">
        <f t="shared" si="12"/>
        <v>0</v>
      </c>
      <c r="F219" s="2696">
        <f t="shared" si="12"/>
        <v>0</v>
      </c>
      <c r="G219" s="1696">
        <f t="shared" si="12"/>
        <v>0</v>
      </c>
      <c r="H219" s="1696">
        <f t="shared" si="12"/>
        <v>0</v>
      </c>
      <c r="I219" s="1696">
        <f t="shared" si="12"/>
        <v>0</v>
      </c>
      <c r="J219" s="2696">
        <f t="shared" si="12"/>
        <v>0</v>
      </c>
    </row>
    <row r="220" spans="1:10" ht="15" customHeight="1">
      <c r="A220" s="1623">
        <f t="shared" si="12"/>
        <v>0</v>
      </c>
      <c r="B220" s="1695" t="str">
        <f t="shared" si="3"/>
        <v>חיובים במהלך התקופה בגין ריבית והצמדה</v>
      </c>
      <c r="C220" s="1695">
        <f t="shared" si="12"/>
        <v>0</v>
      </c>
      <c r="D220" s="1696">
        <f t="shared" si="12"/>
        <v>1838</v>
      </c>
      <c r="E220" s="1696">
        <f t="shared" si="12"/>
        <v>0</v>
      </c>
      <c r="F220" s="2696">
        <f t="shared" si="12"/>
        <v>2341</v>
      </c>
      <c r="G220" s="1696">
        <f t="shared" si="12"/>
        <v>0</v>
      </c>
      <c r="H220" s="1696">
        <f t="shared" si="12"/>
        <v>0</v>
      </c>
      <c r="I220" s="1696">
        <f t="shared" si="12"/>
        <v>0</v>
      </c>
      <c r="J220" s="2696">
        <f t="shared" si="12"/>
        <v>0</v>
      </c>
    </row>
    <row r="221" spans="1:10" ht="15" customHeight="1">
      <c r="A221" s="1623">
        <f t="shared" ref="A221:J221" si="13">A24</f>
        <v>0</v>
      </c>
      <c r="B221" s="1695" t="str">
        <f>IF(AND($D24=0,$F24=0,$H24=0,$J24=0),0,$B24)</f>
        <v>הנחות, פטורים, זיכויים ומחיקת חובות</v>
      </c>
      <c r="C221" s="1695">
        <f t="shared" si="13"/>
        <v>0</v>
      </c>
      <c r="D221" s="1696">
        <f t="shared" si="13"/>
        <v>-42586</v>
      </c>
      <c r="E221" s="1696">
        <f t="shared" si="13"/>
        <v>0</v>
      </c>
      <c r="F221" s="2696">
        <f t="shared" si="13"/>
        <v>-43319</v>
      </c>
      <c r="G221" s="1696">
        <f t="shared" si="13"/>
        <v>0</v>
      </c>
      <c r="H221" s="1696">
        <f t="shared" si="13"/>
        <v>0</v>
      </c>
      <c r="I221" s="1696">
        <f t="shared" si="13"/>
        <v>0</v>
      </c>
      <c r="J221" s="2696">
        <f t="shared" si="13"/>
        <v>0</v>
      </c>
    </row>
    <row r="222" spans="1:10" ht="15" customHeight="1">
      <c r="A222" s="1623">
        <f t="shared" ref="A222:J222" si="14">A25</f>
        <v>0</v>
      </c>
      <c r="B222" s="1695" t="str">
        <f t="shared" ref="B222:B235" si="15">IF(AND($D25=0,$F25=0,$H25=0,$J25=0),0,$B25)</f>
        <v>סה"כ חיוב תקופתי (פוטנציאל הגביה)</v>
      </c>
      <c r="C222" s="1695">
        <f t="shared" si="14"/>
        <v>0</v>
      </c>
      <c r="D222" s="1701">
        <f t="shared" si="14"/>
        <v>490794.79000000004</v>
      </c>
      <c r="E222" s="1696">
        <f t="shared" si="14"/>
        <v>0</v>
      </c>
      <c r="F222" s="1701">
        <f t="shared" si="14"/>
        <v>479249</v>
      </c>
      <c r="G222" s="1696">
        <f t="shared" si="14"/>
        <v>0</v>
      </c>
      <c r="H222" s="1701">
        <f t="shared" si="14"/>
        <v>0</v>
      </c>
      <c r="I222" s="1696">
        <f t="shared" si="14"/>
        <v>0</v>
      </c>
      <c r="J222" s="1701">
        <f t="shared" si="14"/>
        <v>0</v>
      </c>
    </row>
    <row r="223" spans="1:10" ht="15" customHeight="1">
      <c r="A223" s="1623">
        <f t="shared" ref="A223:J223" si="16">A26</f>
        <v>0</v>
      </c>
      <c r="B223" s="1695">
        <f t="shared" si="15"/>
        <v>0</v>
      </c>
      <c r="C223" s="1695">
        <f t="shared" si="16"/>
        <v>0</v>
      </c>
      <c r="D223" s="1696">
        <f t="shared" si="16"/>
        <v>0</v>
      </c>
      <c r="E223" s="1696">
        <f t="shared" si="16"/>
        <v>0</v>
      </c>
      <c r="F223" s="2696">
        <f t="shared" si="16"/>
        <v>0</v>
      </c>
      <c r="G223" s="1696">
        <f t="shared" si="16"/>
        <v>0</v>
      </c>
      <c r="H223" s="1696">
        <f t="shared" si="16"/>
        <v>0</v>
      </c>
      <c r="I223" s="1696">
        <f t="shared" si="16"/>
        <v>0</v>
      </c>
      <c r="J223" s="2696">
        <f t="shared" si="16"/>
        <v>0</v>
      </c>
    </row>
    <row r="224" spans="1:10" ht="15" customHeight="1">
      <c r="A224" s="1623">
        <f t="shared" ref="A224:J224" si="17">A27</f>
        <v>0</v>
      </c>
      <c r="B224" s="1695">
        <f t="shared" si="15"/>
        <v>0</v>
      </c>
      <c r="C224" s="1695">
        <f t="shared" si="17"/>
        <v>0</v>
      </c>
      <c r="D224" s="1696">
        <f t="shared" si="17"/>
        <v>0</v>
      </c>
      <c r="E224" s="1696">
        <f t="shared" si="17"/>
        <v>0</v>
      </c>
      <c r="F224" s="1696">
        <f t="shared" si="17"/>
        <v>0</v>
      </c>
      <c r="G224" s="1696">
        <f t="shared" si="17"/>
        <v>0</v>
      </c>
      <c r="H224" s="1696">
        <f t="shared" si="17"/>
        <v>0</v>
      </c>
      <c r="I224" s="1696">
        <f t="shared" si="17"/>
        <v>0</v>
      </c>
      <c r="J224" s="1696">
        <f t="shared" si="17"/>
        <v>0</v>
      </c>
    </row>
    <row r="225" spans="1:10" ht="15" hidden="1" customHeight="1">
      <c r="B225" s="1695"/>
      <c r="C225" s="1695"/>
      <c r="D225" s="1696"/>
      <c r="E225" s="1696"/>
      <c r="F225" s="2696"/>
      <c r="G225" s="1696"/>
      <c r="H225" s="1696"/>
      <c r="I225" s="1696"/>
      <c r="J225" s="2696"/>
    </row>
    <row r="226" spans="1:10" ht="15" customHeight="1">
      <c r="A226" s="1623">
        <f t="shared" ref="A226:I226" si="18">A29</f>
        <v>0</v>
      </c>
      <c r="B226" s="1695" t="str">
        <f t="shared" si="15"/>
        <v>גביה שוטפת</v>
      </c>
      <c r="C226" s="1695">
        <f t="shared" si="18"/>
        <v>0</v>
      </c>
      <c r="D226" s="1708">
        <f>-1*(D29)</f>
        <v>-436212</v>
      </c>
      <c r="E226" s="1708">
        <f t="shared" si="18"/>
        <v>0</v>
      </c>
      <c r="F226" s="1708">
        <f>-1*(F29)</f>
        <v>-410344</v>
      </c>
      <c r="G226" s="1708">
        <f t="shared" si="18"/>
        <v>0</v>
      </c>
      <c r="H226" s="1708">
        <f>-1*(H29)</f>
        <v>0</v>
      </c>
      <c r="I226" s="1708">
        <f t="shared" si="18"/>
        <v>0</v>
      </c>
      <c r="J226" s="1708">
        <f>-1*(J29)</f>
        <v>0</v>
      </c>
    </row>
    <row r="227" spans="1:10" ht="15" customHeight="1">
      <c r="A227" s="1623">
        <f t="shared" ref="A227:J228" si="19">A30</f>
        <v>0</v>
      </c>
      <c r="B227" s="1695" t="str">
        <f t="shared" si="15"/>
        <v>סה"כ שנגבה</v>
      </c>
      <c r="C227" s="1705">
        <f t="shared" si="19"/>
        <v>0</v>
      </c>
      <c r="D227" s="1701">
        <f>-1*(D30)</f>
        <v>-436212</v>
      </c>
      <c r="E227" s="1696">
        <f t="shared" si="19"/>
        <v>0</v>
      </c>
      <c r="F227" s="1701">
        <f>-1*(F30)</f>
        <v>-410344</v>
      </c>
      <c r="G227" s="1696">
        <f t="shared" si="19"/>
        <v>0</v>
      </c>
      <c r="H227" s="1701">
        <f>-1*(H30)</f>
        <v>0</v>
      </c>
      <c r="I227" s="1696">
        <f t="shared" si="19"/>
        <v>0</v>
      </c>
      <c r="J227" s="1701">
        <f>-1*(J30)</f>
        <v>0</v>
      </c>
    </row>
    <row r="228" spans="1:10" ht="4.5" customHeight="1">
      <c r="A228" s="1623">
        <f t="shared" si="19"/>
        <v>0</v>
      </c>
      <c r="B228" s="1695">
        <f t="shared" si="15"/>
        <v>0</v>
      </c>
      <c r="C228" s="1705">
        <f t="shared" si="19"/>
        <v>0</v>
      </c>
      <c r="D228" s="2694">
        <f t="shared" si="19"/>
        <v>0</v>
      </c>
      <c r="E228" s="1696">
        <f t="shared" si="19"/>
        <v>0</v>
      </c>
      <c r="F228" s="2694">
        <f t="shared" si="19"/>
        <v>0</v>
      </c>
      <c r="G228" s="1696">
        <f t="shared" si="19"/>
        <v>0</v>
      </c>
      <c r="H228" s="2694">
        <f t="shared" si="19"/>
        <v>0</v>
      </c>
      <c r="I228" s="1696">
        <f t="shared" si="19"/>
        <v>0</v>
      </c>
      <c r="J228" s="2694">
        <f t="shared" si="19"/>
        <v>0</v>
      </c>
    </row>
    <row r="229" spans="1:10" ht="15" customHeight="1">
      <c r="A229" s="1623">
        <f>A32</f>
        <v>0</v>
      </c>
      <c r="B229" s="1695" t="str">
        <f t="shared" si="15"/>
        <v>יתרת פיגורים לתקופה</v>
      </c>
      <c r="C229" s="1705">
        <f t="shared" ref="C229:J230" si="20">C32</f>
        <v>0</v>
      </c>
      <c r="D229" s="1701">
        <f t="shared" si="20"/>
        <v>54582.790000000037</v>
      </c>
      <c r="E229" s="1696">
        <f t="shared" si="20"/>
        <v>0</v>
      </c>
      <c r="F229" s="1701">
        <f t="shared" si="20"/>
        <v>68905</v>
      </c>
      <c r="G229" s="1696">
        <f t="shared" si="20"/>
        <v>0</v>
      </c>
      <c r="H229" s="1701">
        <f t="shared" si="20"/>
        <v>0</v>
      </c>
      <c r="I229" s="1696">
        <f t="shared" si="20"/>
        <v>0</v>
      </c>
      <c r="J229" s="1701">
        <f t="shared" si="20"/>
        <v>0</v>
      </c>
    </row>
    <row r="230" spans="1:10" ht="5.25" customHeight="1">
      <c r="A230" s="1623">
        <f>A33</f>
        <v>0</v>
      </c>
      <c r="B230" s="1695">
        <f t="shared" si="15"/>
        <v>0</v>
      </c>
      <c r="C230" s="1705">
        <f t="shared" si="20"/>
        <v>0</v>
      </c>
      <c r="D230" s="1696">
        <f t="shared" si="20"/>
        <v>0</v>
      </c>
      <c r="E230" s="1696">
        <f t="shared" si="20"/>
        <v>0</v>
      </c>
      <c r="F230" s="1696">
        <f t="shared" si="20"/>
        <v>0</v>
      </c>
      <c r="G230" s="1696">
        <f t="shared" si="20"/>
        <v>0</v>
      </c>
      <c r="H230" s="1696">
        <f t="shared" si="20"/>
        <v>0</v>
      </c>
      <c r="I230" s="1696">
        <f t="shared" si="20"/>
        <v>0</v>
      </c>
      <c r="J230" s="1696">
        <f t="shared" si="20"/>
        <v>0</v>
      </c>
    </row>
    <row r="231" spans="1:10" ht="15" customHeight="1" thickBot="1">
      <c r="A231" s="1623">
        <f t="shared" ref="A231:J232" si="21">A34</f>
        <v>0</v>
      </c>
      <c r="B231" s="1695" t="str">
        <f t="shared" si="15"/>
        <v>יתרת חובות שטרם נגבו לסוף התקופה</v>
      </c>
      <c r="C231" s="1707">
        <f t="shared" si="21"/>
        <v>0</v>
      </c>
      <c r="D231" s="2699">
        <f t="shared" si="21"/>
        <v>152100.79000000004</v>
      </c>
      <c r="E231" s="2700">
        <f t="shared" si="21"/>
        <v>0</v>
      </c>
      <c r="F231" s="2699">
        <f t="shared" si="21"/>
        <v>150029</v>
      </c>
      <c r="G231" s="831">
        <f t="shared" si="21"/>
        <v>0</v>
      </c>
      <c r="H231" s="2701">
        <f t="shared" si="21"/>
        <v>777</v>
      </c>
      <c r="I231" s="831">
        <f t="shared" si="21"/>
        <v>0</v>
      </c>
      <c r="J231" s="2701">
        <f t="shared" si="21"/>
        <v>788</v>
      </c>
    </row>
    <row r="232" spans="1:10" ht="6.75" customHeight="1" thickTop="1">
      <c r="A232" s="1623">
        <f t="shared" si="21"/>
        <v>0</v>
      </c>
      <c r="B232" s="1695">
        <f t="shared" si="15"/>
        <v>0</v>
      </c>
      <c r="C232" s="1707">
        <f t="shared" si="21"/>
        <v>0</v>
      </c>
      <c r="D232" s="2704">
        <f t="shared" si="21"/>
        <v>0</v>
      </c>
      <c r="E232" s="2700">
        <f t="shared" si="21"/>
        <v>0</v>
      </c>
      <c r="F232" s="2704">
        <f t="shared" si="21"/>
        <v>0</v>
      </c>
      <c r="G232" s="831">
        <f t="shared" si="21"/>
        <v>0</v>
      </c>
      <c r="H232" s="1403">
        <f t="shared" si="21"/>
        <v>0</v>
      </c>
      <c r="I232" s="831">
        <f t="shared" si="21"/>
        <v>0</v>
      </c>
      <c r="J232" s="1403">
        <f t="shared" si="21"/>
        <v>0</v>
      </c>
    </row>
    <row r="233" spans="1:10" ht="15" customHeight="1">
      <c r="A233" s="1623">
        <f t="shared" ref="A233:J233" si="22">A36</f>
        <v>0</v>
      </c>
      <c r="B233" s="1695" t="str">
        <f t="shared" si="15"/>
        <v>% גביה מהפיגורים</v>
      </c>
      <c r="C233" s="1695">
        <f t="shared" si="22"/>
        <v>0</v>
      </c>
      <c r="D233" s="2702">
        <f t="shared" si="22"/>
        <v>0.36380420529347679</v>
      </c>
      <c r="E233" s="1708">
        <f t="shared" si="22"/>
        <v>0</v>
      </c>
      <c r="F233" s="2702">
        <f t="shared" si="22"/>
        <v>0.34899248072031008</v>
      </c>
      <c r="G233" s="1695">
        <f t="shared" si="22"/>
        <v>0</v>
      </c>
      <c r="H233" s="2703">
        <f t="shared" si="22"/>
        <v>0.51709136109384712</v>
      </c>
      <c r="I233" s="1709">
        <f t="shared" si="22"/>
        <v>0</v>
      </c>
      <c r="J233" s="2703">
        <f t="shared" si="22"/>
        <v>0.49519538757206921</v>
      </c>
    </row>
    <row r="234" spans="1:10" ht="15" customHeight="1">
      <c r="A234" s="1623">
        <f t="shared" ref="A234:J234" si="23">A37</f>
        <v>0</v>
      </c>
      <c r="B234" s="1695" t="str">
        <f t="shared" si="15"/>
        <v>% גביה מהשוטף</v>
      </c>
      <c r="C234" s="1695">
        <f t="shared" si="23"/>
        <v>0</v>
      </c>
      <c r="D234" s="2702">
        <f t="shared" si="23"/>
        <v>0.88878694087196808</v>
      </c>
      <c r="E234" s="1708">
        <f t="shared" si="23"/>
        <v>0</v>
      </c>
      <c r="F234" s="2702">
        <f t="shared" si="23"/>
        <v>0.85622296551479504</v>
      </c>
      <c r="G234" s="1695">
        <f t="shared" si="23"/>
        <v>0</v>
      </c>
      <c r="H234" s="2702">
        <f t="shared" si="23"/>
        <v>0</v>
      </c>
      <c r="I234" s="1708">
        <f t="shared" si="23"/>
        <v>0</v>
      </c>
      <c r="J234" s="2702">
        <f t="shared" si="23"/>
        <v>0</v>
      </c>
    </row>
    <row r="235" spans="1:10" ht="15" customHeight="1">
      <c r="A235" s="1623">
        <f t="shared" ref="A235:J235" si="24">A38</f>
        <v>0</v>
      </c>
      <c r="B235" s="1695" t="str">
        <f t="shared" si="15"/>
        <v>% גביה מהסה"כ</v>
      </c>
      <c r="C235" s="1695">
        <f t="shared" si="24"/>
        <v>0</v>
      </c>
      <c r="D235" s="2702">
        <f t="shared" si="24"/>
        <v>0.76384717442282857</v>
      </c>
      <c r="E235" s="1708">
        <f t="shared" si="24"/>
        <v>0</v>
      </c>
      <c r="F235" s="2702">
        <f t="shared" si="24"/>
        <v>0.75155085102225339</v>
      </c>
      <c r="G235" s="1695">
        <f t="shared" si="24"/>
        <v>0</v>
      </c>
      <c r="H235" s="2702">
        <f t="shared" si="24"/>
        <v>0.51709136109384712</v>
      </c>
      <c r="I235" s="1708">
        <f t="shared" si="24"/>
        <v>0</v>
      </c>
      <c r="J235" s="2702">
        <f t="shared" si="24"/>
        <v>0.49519538757206921</v>
      </c>
    </row>
    <row r="236" spans="1:10" ht="5.25" customHeight="1">
      <c r="A236" s="1623">
        <f t="shared" ref="A236:J236" si="25">A39</f>
        <v>0</v>
      </c>
      <c r="B236" s="1695">
        <f t="shared" si="25"/>
        <v>0</v>
      </c>
      <c r="C236" s="1695">
        <f t="shared" si="25"/>
        <v>0</v>
      </c>
      <c r="D236" s="1695">
        <f t="shared" si="25"/>
        <v>0</v>
      </c>
      <c r="E236" s="1708">
        <f t="shared" si="25"/>
        <v>0</v>
      </c>
      <c r="F236" s="1695">
        <f t="shared" si="25"/>
        <v>0</v>
      </c>
      <c r="G236" s="1695">
        <f t="shared" si="25"/>
        <v>0</v>
      </c>
      <c r="H236" s="1708">
        <f t="shared" si="25"/>
        <v>0</v>
      </c>
      <c r="I236" s="1708">
        <f t="shared" si="25"/>
        <v>0</v>
      </c>
      <c r="J236" s="1708">
        <f t="shared" si="25"/>
        <v>0</v>
      </c>
    </row>
    <row r="237" spans="1:10" ht="5.25" customHeight="1">
      <c r="A237" s="1623">
        <f t="shared" ref="A237:J237" si="26">A40</f>
        <v>0</v>
      </c>
      <c r="B237" s="1695">
        <f t="shared" si="26"/>
        <v>0</v>
      </c>
      <c r="C237" s="1695">
        <f t="shared" si="26"/>
        <v>0</v>
      </c>
      <c r="D237" s="1695">
        <f t="shared" si="26"/>
        <v>0</v>
      </c>
      <c r="E237" s="1708">
        <f t="shared" si="26"/>
        <v>0</v>
      </c>
      <c r="F237" s="1695">
        <f t="shared" si="26"/>
        <v>0</v>
      </c>
      <c r="G237" s="1695">
        <f t="shared" si="26"/>
        <v>0</v>
      </c>
      <c r="H237" s="1708">
        <f t="shared" si="26"/>
        <v>0</v>
      </c>
      <c r="I237" s="1708">
        <f t="shared" si="26"/>
        <v>0</v>
      </c>
      <c r="J237" s="1708">
        <f t="shared" si="26"/>
        <v>0</v>
      </c>
    </row>
    <row r="238" spans="1:10" ht="5.25" customHeight="1">
      <c r="A238" s="1623">
        <f t="shared" ref="A238:J238" si="27">A41</f>
        <v>0</v>
      </c>
      <c r="B238" s="1695">
        <f t="shared" si="27"/>
        <v>0</v>
      </c>
      <c r="C238" s="1695">
        <f t="shared" si="27"/>
        <v>0</v>
      </c>
      <c r="D238" s="1695">
        <f t="shared" si="27"/>
        <v>0</v>
      </c>
      <c r="E238" s="1708">
        <f t="shared" si="27"/>
        <v>0</v>
      </c>
      <c r="F238" s="1695">
        <f t="shared" si="27"/>
        <v>0</v>
      </c>
      <c r="G238" s="1695">
        <f t="shared" si="27"/>
        <v>0</v>
      </c>
      <c r="H238" s="1708">
        <f t="shared" si="27"/>
        <v>0</v>
      </c>
      <c r="I238" s="1708">
        <f t="shared" si="27"/>
        <v>0</v>
      </c>
      <c r="J238" s="1708">
        <f t="shared" si="27"/>
        <v>0</v>
      </c>
    </row>
    <row r="239" spans="1:10" ht="6" customHeight="1">
      <c r="A239" s="1623">
        <f t="shared" ref="A239:J239" si="28">A42</f>
        <v>0</v>
      </c>
      <c r="B239" s="1695">
        <f t="shared" si="28"/>
        <v>0</v>
      </c>
      <c r="C239" s="1695">
        <f t="shared" si="28"/>
        <v>0</v>
      </c>
      <c r="D239" s="1695">
        <f t="shared" si="28"/>
        <v>0</v>
      </c>
      <c r="E239" s="1708">
        <f t="shared" si="28"/>
        <v>0</v>
      </c>
      <c r="F239" s="1695">
        <f t="shared" si="28"/>
        <v>0</v>
      </c>
      <c r="G239" s="1695">
        <f t="shared" si="28"/>
        <v>0</v>
      </c>
      <c r="H239" s="1708">
        <f t="shared" si="28"/>
        <v>0</v>
      </c>
      <c r="I239" s="1708">
        <f t="shared" si="28"/>
        <v>0</v>
      </c>
      <c r="J239" s="1708">
        <f t="shared" si="28"/>
        <v>0</v>
      </c>
    </row>
    <row r="240" spans="1:10" ht="15" customHeight="1">
      <c r="A240" s="1623">
        <f t="shared" ref="A240:I240" si="29">A43</f>
        <v>0</v>
      </c>
      <c r="B240" s="1694" t="str">
        <f>IF(OR(H240&lt;&gt;"",J240&lt;&gt;""),B43,"")</f>
        <v/>
      </c>
      <c r="C240" s="1695">
        <f t="shared" si="29"/>
        <v>0</v>
      </c>
      <c r="D240" s="1695">
        <f t="shared" si="29"/>
        <v>0</v>
      </c>
      <c r="E240" s="1708">
        <f t="shared" si="29"/>
        <v>0</v>
      </c>
      <c r="F240" s="1695">
        <f t="shared" si="29"/>
        <v>0</v>
      </c>
      <c r="G240" s="1695">
        <f t="shared" si="29"/>
        <v>0</v>
      </c>
      <c r="H240" s="2704" t="str">
        <f>IF(OR(H45&lt;&gt;0,H46&lt;&gt;0),H43,"")</f>
        <v/>
      </c>
      <c r="I240" s="1708">
        <f t="shared" si="29"/>
        <v>0</v>
      </c>
      <c r="J240" s="2704" t="str">
        <f>IF(OR(J45&lt;&gt;0,J46&lt;&gt;0),J43,"")</f>
        <v/>
      </c>
    </row>
    <row r="241" spans="1:10" ht="15" customHeight="1">
      <c r="A241" s="1623">
        <f t="shared" ref="A241:J241" si="30">A44</f>
        <v>0</v>
      </c>
      <c r="B241" s="1695">
        <f t="shared" si="30"/>
        <v>0</v>
      </c>
      <c r="C241" s="1695">
        <f t="shared" si="30"/>
        <v>0</v>
      </c>
      <c r="D241" s="1695">
        <f t="shared" si="30"/>
        <v>0</v>
      </c>
      <c r="E241" s="1708">
        <f t="shared" si="30"/>
        <v>0</v>
      </c>
      <c r="F241" s="1695">
        <f t="shared" si="30"/>
        <v>0</v>
      </c>
      <c r="G241" s="1695">
        <f t="shared" si="30"/>
        <v>0</v>
      </c>
      <c r="H241" s="1708">
        <f t="shared" si="30"/>
        <v>0</v>
      </c>
      <c r="I241" s="1708">
        <f t="shared" si="30"/>
        <v>0</v>
      </c>
      <c r="J241" s="1708">
        <f t="shared" si="30"/>
        <v>0</v>
      </c>
    </row>
    <row r="242" spans="1:10" ht="15" customHeight="1">
      <c r="A242" s="1623">
        <f t="shared" ref="A242:J242" si="31">A45</f>
        <v>0</v>
      </c>
      <c r="B242" s="1695">
        <f>IF(AND($H45=0,$J45=0),0,$B45)</f>
        <v>0</v>
      </c>
      <c r="C242" s="1695">
        <f t="shared" si="31"/>
        <v>0</v>
      </c>
      <c r="D242" s="1695">
        <f t="shared" si="31"/>
        <v>0</v>
      </c>
      <c r="E242" s="1708">
        <f t="shared" si="31"/>
        <v>0</v>
      </c>
      <c r="F242" s="1695">
        <f t="shared" si="31"/>
        <v>0</v>
      </c>
      <c r="G242" s="1695">
        <f t="shared" si="31"/>
        <v>0</v>
      </c>
      <c r="H242" s="1708">
        <f t="shared" si="31"/>
        <v>0</v>
      </c>
      <c r="I242" s="1708">
        <f t="shared" si="31"/>
        <v>0</v>
      </c>
      <c r="J242" s="1708">
        <f t="shared" si="31"/>
        <v>0</v>
      </c>
    </row>
    <row r="243" spans="1:10" ht="15" customHeight="1">
      <c r="A243" s="1623">
        <f t="shared" ref="A243:J243" si="32">A46</f>
        <v>0</v>
      </c>
      <c r="B243" s="1695">
        <f>IF(AND($H46=0,$J46=0),0,$B46)</f>
        <v>0</v>
      </c>
      <c r="C243" s="1695">
        <f t="shared" si="32"/>
        <v>0</v>
      </c>
      <c r="D243" s="1695">
        <f t="shared" si="32"/>
        <v>0</v>
      </c>
      <c r="E243" s="1708">
        <f t="shared" si="32"/>
        <v>0</v>
      </c>
      <c r="F243" s="1695">
        <f t="shared" si="32"/>
        <v>0</v>
      </c>
      <c r="G243" s="1695">
        <f t="shared" si="32"/>
        <v>0</v>
      </c>
      <c r="H243" s="1708">
        <f t="shared" si="32"/>
        <v>0</v>
      </c>
      <c r="I243" s="1708">
        <f t="shared" si="32"/>
        <v>0</v>
      </c>
      <c r="J243" s="1708">
        <f t="shared" si="32"/>
        <v>0</v>
      </c>
    </row>
    <row r="244" spans="1:10" ht="15" customHeight="1" thickBot="1">
      <c r="A244" s="1623">
        <f t="shared" ref="A244:J244" si="33">A47</f>
        <v>0</v>
      </c>
      <c r="B244" s="1695">
        <f>IF(AND($H47=0,$J47=0),0,$B47)</f>
        <v>0</v>
      </c>
      <c r="C244" s="1695">
        <f t="shared" si="33"/>
        <v>0</v>
      </c>
      <c r="D244" s="1695">
        <f t="shared" si="33"/>
        <v>0</v>
      </c>
      <c r="E244" s="1708">
        <f t="shared" si="33"/>
        <v>0</v>
      </c>
      <c r="F244" s="1695">
        <f t="shared" si="33"/>
        <v>0</v>
      </c>
      <c r="G244" s="1695">
        <f t="shared" si="33"/>
        <v>0</v>
      </c>
      <c r="H244" s="1712">
        <f t="shared" si="33"/>
        <v>0</v>
      </c>
      <c r="I244" s="1708">
        <f t="shared" si="33"/>
        <v>0</v>
      </c>
      <c r="J244" s="1712">
        <f t="shared" si="33"/>
        <v>0</v>
      </c>
    </row>
    <row r="245" spans="1:10" ht="15" customHeight="1" thickTop="1">
      <c r="A245" s="1623">
        <f t="shared" ref="A245:J245" si="34">A48</f>
        <v>0</v>
      </c>
      <c r="B245" s="1695">
        <f>IF(AND($H48=0,$J48=0),0,$B48)</f>
        <v>0</v>
      </c>
      <c r="C245" s="1695">
        <f t="shared" si="34"/>
        <v>0</v>
      </c>
      <c r="D245" s="1695">
        <f t="shared" si="34"/>
        <v>0</v>
      </c>
      <c r="E245" s="1708">
        <f t="shared" si="34"/>
        <v>0</v>
      </c>
      <c r="F245" s="1695">
        <f t="shared" si="34"/>
        <v>0</v>
      </c>
      <c r="G245" s="1695">
        <f t="shared" si="34"/>
        <v>0</v>
      </c>
      <c r="H245" s="2702">
        <f t="shared" si="34"/>
        <v>0</v>
      </c>
      <c r="I245" s="1708">
        <f t="shared" si="34"/>
        <v>0</v>
      </c>
      <c r="J245" s="2702">
        <f t="shared" si="34"/>
        <v>0</v>
      </c>
    </row>
    <row r="246" spans="1:10" ht="15" customHeight="1">
      <c r="A246" s="1623">
        <f t="shared" ref="A246:J246" si="35">A49</f>
        <v>0</v>
      </c>
      <c r="B246" s="1695">
        <f t="shared" si="35"/>
        <v>0</v>
      </c>
      <c r="C246" s="1695">
        <f t="shared" si="35"/>
        <v>0</v>
      </c>
      <c r="D246" s="1695">
        <f t="shared" si="35"/>
        <v>0</v>
      </c>
      <c r="E246" s="1708">
        <f t="shared" si="35"/>
        <v>0</v>
      </c>
      <c r="F246" s="1711">
        <f t="shared" si="35"/>
        <v>0</v>
      </c>
      <c r="G246" s="1695">
        <f t="shared" si="35"/>
        <v>0</v>
      </c>
      <c r="H246" s="1708">
        <f t="shared" si="35"/>
        <v>0</v>
      </c>
      <c r="I246" s="1708">
        <f t="shared" si="35"/>
        <v>0</v>
      </c>
      <c r="J246" s="1708">
        <f t="shared" si="35"/>
        <v>0</v>
      </c>
    </row>
    <row r="247" spans="1:10">
      <c r="A247" s="1623">
        <f t="shared" ref="A247:J247" si="36">A52</f>
        <v>0</v>
      </c>
      <c r="B247" s="1623">
        <f>IF(B51&lt;&gt;"(***)",B51,0)</f>
        <v>0</v>
      </c>
      <c r="C247" s="1623">
        <f t="shared" si="36"/>
        <v>0</v>
      </c>
      <c r="D247" s="1691">
        <f t="shared" si="36"/>
        <v>0</v>
      </c>
      <c r="E247" s="1623">
        <f t="shared" si="36"/>
        <v>0</v>
      </c>
      <c r="F247" s="1623">
        <f t="shared" si="36"/>
        <v>0</v>
      </c>
      <c r="G247" s="1623">
        <f t="shared" si="36"/>
        <v>0</v>
      </c>
      <c r="H247" s="1623">
        <f t="shared" si="36"/>
        <v>0</v>
      </c>
      <c r="I247" s="1623">
        <f t="shared" si="36"/>
        <v>0</v>
      </c>
      <c r="J247" s="1623">
        <f t="shared" si="36"/>
        <v>0</v>
      </c>
    </row>
    <row r="248" spans="1:10">
      <c r="A248" s="1623">
        <f t="shared" ref="A248:J248" si="37">A53</f>
        <v>0</v>
      </c>
      <c r="B248" s="1623">
        <f t="shared" si="37"/>
        <v>0</v>
      </c>
      <c r="C248" s="1623">
        <f t="shared" si="37"/>
        <v>0</v>
      </c>
      <c r="D248" s="1691">
        <f t="shared" si="37"/>
        <v>0</v>
      </c>
      <c r="E248" s="1623">
        <f t="shared" si="37"/>
        <v>0</v>
      </c>
      <c r="F248" s="1623">
        <f t="shared" si="37"/>
        <v>0</v>
      </c>
      <c r="G248" s="1623">
        <f t="shared" si="37"/>
        <v>0</v>
      </c>
      <c r="H248" s="1623">
        <f t="shared" si="37"/>
        <v>0</v>
      </c>
      <c r="I248" s="1623">
        <f t="shared" si="37"/>
        <v>0</v>
      </c>
      <c r="J248" s="1623">
        <f t="shared" si="37"/>
        <v>0</v>
      </c>
    </row>
    <row r="249" spans="1:10">
      <c r="A249" s="1623">
        <f t="shared" ref="A249:J249" si="38">A54</f>
        <v>0</v>
      </c>
      <c r="B249" s="1623">
        <f t="shared" si="38"/>
        <v>0</v>
      </c>
      <c r="C249" s="1623">
        <f t="shared" si="38"/>
        <v>0</v>
      </c>
      <c r="D249" s="1691">
        <f t="shared" si="38"/>
        <v>0</v>
      </c>
      <c r="E249" s="1623">
        <f t="shared" si="38"/>
        <v>0</v>
      </c>
      <c r="F249" s="1623">
        <f t="shared" si="38"/>
        <v>0</v>
      </c>
      <c r="G249" s="1623">
        <f t="shared" si="38"/>
        <v>0</v>
      </c>
      <c r="H249" s="1623">
        <f t="shared" si="38"/>
        <v>0</v>
      </c>
      <c r="I249" s="1623">
        <f t="shared" si="38"/>
        <v>0</v>
      </c>
      <c r="J249" s="1623">
        <f t="shared" si="38"/>
        <v>0</v>
      </c>
    </row>
  </sheetData>
  <sheetProtection password="83C1" sheet="1" objects="1" scenarios="1"/>
  <mergeCells count="12">
    <mergeCell ref="B199:J199"/>
    <mergeCell ref="B198:J198"/>
    <mergeCell ref="B197:J197"/>
    <mergeCell ref="B203:B204"/>
    <mergeCell ref="D203:F203"/>
    <mergeCell ref="H203:J203"/>
    <mergeCell ref="B5:B6"/>
    <mergeCell ref="D5:F5"/>
    <mergeCell ref="H5:J5"/>
    <mergeCell ref="D1:J1"/>
    <mergeCell ref="C2:J2"/>
    <mergeCell ref="D3:J3"/>
  </mergeCells>
  <phoneticPr fontId="4" type="noConversion"/>
  <dataValidations count="2">
    <dataValidation type="decimal" operator="lessThanOrEqual" allowBlank="1" showInputMessage="1" showErrorMessage="1" errorTitle="שגיאה" error="יש להקליד נתון במינוס" prompt="יש להקליד נתון במינוס" sqref="D14 F14 H14 J14 D24 F24 H24 J24">
      <formula1>0</formula1>
    </dataValidation>
    <dataValidation type="decimal" operator="greaterThanOrEqual" allowBlank="1" showInputMessage="1" showErrorMessage="1" errorTitle="שגיאה" error="יש להקליד נתון בפלוס" prompt="יש להקליד נתון בפלוס" sqref="F16 J16 J29 D29 F29">
      <formula1>0</formula1>
    </dataValidation>
  </dataValidations>
  <hyperlinks>
    <hyperlink ref="A4" location="'תוכן הענינים'!A1" tooltip="לחץ להצגת גליון תוכן הענינים" display="הצג תוכן ענינים"/>
  </hyperlinks>
  <printOptions horizontalCentered="1"/>
  <pageMargins left="0.25" right="0.25" top="0.75" bottom="0.39370078740157499" header="0.25" footer="3.9370078740157501E-2"/>
  <pageSetup paperSize="9" scale="92" firstPageNumber="27" orientation="portrait" blackAndWhite="1" horizontalDpi="300" verticalDpi="300" r:id="rId1"/>
  <headerFooter alignWithMargins="0">
    <oddHeader>&amp;L&amp;8&amp;A</oddHeader>
    <oddFooter>&amp;C&amp;8&amp;P</oddFoot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3">
    <pageSetUpPr autoPageBreaks="0"/>
  </sheetPr>
  <dimension ref="A1:P226"/>
  <sheetViews>
    <sheetView showGridLines="0" showRowColHeaders="0" showZeros="0" rightToLeft="1" showOutlineSymbols="0" zoomScaleNormal="100" zoomScaleSheetLayoutView="100" workbookViewId="0"/>
  </sheetViews>
  <sheetFormatPr defaultColWidth="9.109375" defaultRowHeight="13.2"/>
  <cols>
    <col min="1" max="1" width="6.88671875" style="1218" customWidth="1"/>
    <col min="2" max="2" width="43.88671875" style="1218" customWidth="1"/>
    <col min="3" max="3" width="10.88671875" style="1262" customWidth="1"/>
    <col min="4" max="4" width="2.5546875" style="1218" customWidth="1"/>
    <col min="5" max="5" width="10.88671875" style="1218" customWidth="1"/>
    <col min="6" max="6" width="2.44140625" style="1218" customWidth="1"/>
    <col min="7" max="7" width="10.88671875" style="1218" customWidth="1"/>
    <col min="8" max="8" width="2.5546875" style="1218" customWidth="1"/>
    <col min="9" max="9" width="11" style="1218" customWidth="1"/>
    <col min="10" max="10" width="2.5546875" style="1218" customWidth="1"/>
    <col min="11" max="11" width="11" style="1218" customWidth="1"/>
    <col min="12" max="12" width="2.5546875" style="1218" customWidth="1"/>
    <col min="13" max="13" width="11" style="1218" customWidth="1"/>
    <col min="14" max="14" width="2.109375" style="1218" customWidth="1"/>
    <col min="15" max="16384" width="9.109375" style="1218"/>
  </cols>
  <sheetData>
    <row r="1" spans="1:16" ht="17.399999999999999">
      <c r="A1" s="1213"/>
      <c r="B1" s="1214"/>
      <c r="C1" s="3559" t="str">
        <f>'הגדרות כלליות'!D6</f>
        <v>עירית הרצליה</v>
      </c>
      <c r="D1" s="3396"/>
      <c r="E1" s="3396"/>
      <c r="F1" s="3396"/>
      <c r="G1" s="3396"/>
      <c r="H1" s="3396"/>
      <c r="I1" s="1215"/>
      <c r="J1" s="1215"/>
      <c r="K1" s="1215"/>
      <c r="L1" s="1215"/>
      <c r="M1" s="1215"/>
      <c r="N1" s="1215"/>
      <c r="O1" s="1215"/>
      <c r="P1" s="1216"/>
    </row>
    <row r="2" spans="1:16" ht="17.399999999999999">
      <c r="A2" s="1215"/>
      <c r="B2" s="1214"/>
      <c r="C2" s="3559" t="s">
        <v>866</v>
      </c>
      <c r="D2" s="3396"/>
      <c r="E2" s="3396"/>
      <c r="F2" s="3396"/>
      <c r="G2" s="3396"/>
      <c r="H2" s="3396"/>
      <c r="I2" s="1219"/>
      <c r="J2" s="1215"/>
      <c r="K2" s="1215"/>
      <c r="L2" s="1215"/>
      <c r="M2" s="1215"/>
      <c r="N2" s="1215"/>
      <c r="O2" s="1219"/>
      <c r="P2" s="1216"/>
    </row>
    <row r="3" spans="1:16" ht="17.399999999999999">
      <c r="A3" s="1215"/>
      <c r="B3" s="1214"/>
      <c r="C3" s="3559" t="str">
        <f>CONCATENATE(" ליום 31 בדצמבר ",'הגדרות כלליות'!D10, " (אלפי ש''ח)")</f>
        <v xml:space="preserve"> ליום 31 בדצמבר 2015 (אלפי ש''ח)</v>
      </c>
      <c r="D3" s="3396"/>
      <c r="E3" s="3396"/>
      <c r="F3" s="3396"/>
      <c r="G3" s="3396"/>
      <c r="H3" s="3396"/>
      <c r="I3" s="567"/>
      <c r="J3" s="1215"/>
      <c r="K3" s="1215"/>
      <c r="L3" s="1215"/>
      <c r="M3" s="1215"/>
      <c r="N3" s="1215"/>
      <c r="O3" s="567"/>
      <c r="P3" s="1216"/>
    </row>
    <row r="4" spans="1:16" ht="33.75" customHeight="1">
      <c r="A4" s="7" t="s">
        <v>339</v>
      </c>
      <c r="B4" s="1220"/>
      <c r="C4" s="1220"/>
      <c r="D4" s="1220"/>
      <c r="E4" s="1220"/>
      <c r="F4" s="1220"/>
      <c r="G4" s="1220"/>
      <c r="H4" s="1221"/>
      <c r="I4" s="1220"/>
      <c r="J4" s="1220"/>
      <c r="K4" s="1220"/>
      <c r="L4" s="1220"/>
      <c r="M4" s="1220"/>
      <c r="N4" s="1221"/>
      <c r="O4" s="1221"/>
      <c r="P4" s="1216"/>
    </row>
    <row r="5" spans="1:16" ht="18.75" customHeight="1">
      <c r="A5" s="1221"/>
      <c r="B5" s="1222"/>
      <c r="C5" s="1223"/>
      <c r="D5" s="1223"/>
      <c r="E5" s="1223"/>
      <c r="F5" s="1223"/>
      <c r="G5" s="1223"/>
      <c r="H5" s="1223"/>
      <c r="I5" s="1223"/>
      <c r="J5" s="1223"/>
      <c r="K5" s="1223"/>
      <c r="L5" s="1223"/>
      <c r="M5" s="1223"/>
      <c r="N5" s="1224"/>
      <c r="O5" s="1221"/>
      <c r="P5" s="1216"/>
    </row>
    <row r="6" spans="1:16">
      <c r="A6" s="1221"/>
      <c r="B6" s="1225"/>
      <c r="C6" s="3110" t="s">
        <v>1045</v>
      </c>
      <c r="D6" s="2625"/>
      <c r="E6" s="2625" t="s">
        <v>1265</v>
      </c>
      <c r="F6" s="2625"/>
      <c r="G6" s="2625" t="s">
        <v>1266</v>
      </c>
      <c r="H6" s="2625"/>
      <c r="I6" s="3558" t="s">
        <v>782</v>
      </c>
      <c r="J6" s="3558"/>
      <c r="K6" s="3558"/>
      <c r="L6" s="3558"/>
      <c r="M6" s="3558"/>
      <c r="N6" s="1229"/>
      <c r="O6" s="1221"/>
      <c r="P6" s="1216"/>
    </row>
    <row r="7" spans="1:16" ht="24" customHeight="1">
      <c r="A7" s="1221"/>
      <c r="B7" s="1225"/>
      <c r="C7" s="1226" t="str">
        <f>CONCATENATE('הגדרות כלליות'!$D$18,".",'הגדרות כלליות'!$D$10)</f>
        <v>31.12.2015</v>
      </c>
      <c r="D7" s="1231"/>
      <c r="E7" s="1226" t="str">
        <f>CONCATENATE('הגדרות כלליות'!$D$18,".",'הגדרות כלליות'!$D$10)</f>
        <v>31.12.2015</v>
      </c>
      <c r="F7" s="1227"/>
      <c r="G7" s="1226" t="str">
        <f>CONCATENATE('הגדרות כלליות'!$D$18,".",'הגדרות כלליות'!$D$10)</f>
        <v>31.12.2015</v>
      </c>
      <c r="H7" s="1227"/>
      <c r="I7" s="1226" t="str">
        <f>CONCATENATE('הגדרות כלליות'!$D$18,".",'הגדרות כלליות'!$D$10)</f>
        <v>31.12.2015</v>
      </c>
      <c r="J7" s="1227"/>
      <c r="K7" s="1226" t="str">
        <f>CONCATENATE('הגדרות כלליות'!$D$18,".",'הגדרות כלליות'!$D$12)</f>
        <v>31.12.2014</v>
      </c>
      <c r="L7" s="1227"/>
      <c r="M7" s="1228" t="str">
        <f>CONCATENATE('הגדרות כלליות'!$D$18,".",'הגדרות כלליות'!$D$14)</f>
        <v>31.12.2013</v>
      </c>
      <c r="N7" s="1229"/>
      <c r="O7" s="1221"/>
      <c r="P7" s="1216"/>
    </row>
    <row r="8" spans="1:16" ht="30" customHeight="1">
      <c r="A8" s="1221"/>
      <c r="B8" s="1232" t="s">
        <v>871</v>
      </c>
      <c r="C8" s="1233">
        <v>500</v>
      </c>
      <c r="D8" s="1234"/>
      <c r="E8" s="1233">
        <v>36710</v>
      </c>
      <c r="F8" s="1234"/>
      <c r="G8" s="1236">
        <v>95299</v>
      </c>
      <c r="H8" s="1227"/>
      <c r="I8" s="1237">
        <f>C8+E8+G8</f>
        <v>132509</v>
      </c>
      <c r="J8" s="1227"/>
      <c r="K8" s="1237">
        <f>M12</f>
        <v>143139</v>
      </c>
      <c r="L8" s="1227"/>
      <c r="M8" s="1236">
        <v>168542</v>
      </c>
      <c r="N8" s="1229"/>
      <c r="O8" s="1221"/>
      <c r="P8" s="1216"/>
    </row>
    <row r="9" spans="1:16">
      <c r="A9" s="1221"/>
      <c r="B9" s="1225" t="s">
        <v>2212</v>
      </c>
      <c r="C9" s="1233"/>
      <c r="D9" s="1234"/>
      <c r="E9" s="1235"/>
      <c r="F9" s="1234"/>
      <c r="G9" s="1236"/>
      <c r="H9" s="1227"/>
      <c r="I9" s="1237">
        <f>C9+E9+G9</f>
        <v>0</v>
      </c>
      <c r="J9" s="1227"/>
      <c r="K9" s="3293">
        <v>15133</v>
      </c>
      <c r="L9" s="1227"/>
      <c r="M9" s="1236"/>
      <c r="N9" s="1229"/>
      <c r="O9" s="1221"/>
      <c r="P9" s="1216"/>
    </row>
    <row r="10" spans="1:16">
      <c r="A10" s="1221"/>
      <c r="B10" s="1225"/>
      <c r="C10" s="1238">
        <f>SUM(C8:C9)</f>
        <v>500</v>
      </c>
      <c r="D10" s="1234"/>
      <c r="E10" s="1238">
        <f>SUM(E8:E9)</f>
        <v>36710</v>
      </c>
      <c r="F10" s="1234"/>
      <c r="G10" s="1238">
        <f>SUM(G8:G9)</f>
        <v>95299</v>
      </c>
      <c r="H10" s="1227"/>
      <c r="I10" s="1238">
        <f>SUM(I8:I9)</f>
        <v>132509</v>
      </c>
      <c r="J10" s="1227"/>
      <c r="K10" s="1238">
        <f>SUM(K8:K9)</f>
        <v>158272</v>
      </c>
      <c r="L10" s="1227"/>
      <c r="M10" s="1238">
        <f>SUM(M8:M9)</f>
        <v>168542</v>
      </c>
      <c r="N10" s="1229"/>
      <c r="O10" s="1221"/>
      <c r="P10" s="1216"/>
    </row>
    <row r="11" spans="1:16">
      <c r="A11" s="1221"/>
      <c r="B11" s="1225" t="s">
        <v>521</v>
      </c>
      <c r="C11" s="1236">
        <v>333</v>
      </c>
      <c r="D11" s="1234"/>
      <c r="E11" s="1236">
        <v>6097</v>
      </c>
      <c r="F11" s="1234"/>
      <c r="G11" s="1236">
        <v>16568</v>
      </c>
      <c r="H11" s="1227"/>
      <c r="I11" s="1237">
        <f>C11+E11+G11</f>
        <v>22998</v>
      </c>
      <c r="J11" s="1227"/>
      <c r="K11" s="1236">
        <v>25763</v>
      </c>
      <c r="L11" s="1227"/>
      <c r="M11" s="1236">
        <v>25403</v>
      </c>
      <c r="N11" s="1229"/>
      <c r="O11" s="1221"/>
      <c r="P11" s="1216"/>
    </row>
    <row r="12" spans="1:16">
      <c r="A12" s="1221"/>
      <c r="B12" s="1225" t="s">
        <v>872</v>
      </c>
      <c r="C12" s="2763">
        <f>C10-C11</f>
        <v>167</v>
      </c>
      <c r="D12" s="1234"/>
      <c r="E12" s="2763">
        <f>E10-E11</f>
        <v>30613</v>
      </c>
      <c r="F12" s="1234"/>
      <c r="G12" s="2763">
        <f>G10-G11</f>
        <v>78731</v>
      </c>
      <c r="H12" s="1227"/>
      <c r="I12" s="2763">
        <f>I10-I11</f>
        <v>109511</v>
      </c>
      <c r="J12" s="1227"/>
      <c r="K12" s="2763">
        <f>K10-K11</f>
        <v>132509</v>
      </c>
      <c r="L12" s="1227"/>
      <c r="M12" s="2763">
        <f>M10-M11</f>
        <v>143139</v>
      </c>
      <c r="N12" s="1229"/>
      <c r="O12" s="1221"/>
      <c r="P12" s="1216"/>
    </row>
    <row r="13" spans="1:16">
      <c r="A13" s="1221"/>
      <c r="B13" s="1225" t="s">
        <v>873</v>
      </c>
      <c r="C13" s="1235">
        <v>50</v>
      </c>
      <c r="D13" s="1234"/>
      <c r="E13" s="1235">
        <v>6114</v>
      </c>
      <c r="F13" s="1234"/>
      <c r="G13" s="1235">
        <v>12753</v>
      </c>
      <c r="H13" s="1227"/>
      <c r="I13" s="2712">
        <f>C13+E13+G13</f>
        <v>18917</v>
      </c>
      <c r="J13" s="1227"/>
      <c r="K13" s="1235">
        <v>25610</v>
      </c>
      <c r="L13" s="1227"/>
      <c r="M13" s="1235">
        <v>32469</v>
      </c>
      <c r="N13" s="1229"/>
      <c r="O13" s="1221"/>
      <c r="P13" s="1216"/>
    </row>
    <row r="14" spans="1:16" ht="13.8" thickBot="1">
      <c r="A14" s="1221"/>
      <c r="B14" s="1225" t="s">
        <v>874</v>
      </c>
      <c r="C14" s="1239">
        <f>SUM(C12:C13)</f>
        <v>217</v>
      </c>
      <c r="D14" s="1234"/>
      <c r="E14" s="1239">
        <f>SUM(E12:E13)</f>
        <v>36727</v>
      </c>
      <c r="F14" s="1234"/>
      <c r="G14" s="1239">
        <f>SUM(G12:G13)</f>
        <v>91484</v>
      </c>
      <c r="H14" s="1227"/>
      <c r="I14" s="1239">
        <f>SUM(I12:I13)</f>
        <v>128428</v>
      </c>
      <c r="J14" s="1227"/>
      <c r="K14" s="1239">
        <f>SUM(K12:K13)</f>
        <v>158119</v>
      </c>
      <c r="L14" s="1227"/>
      <c r="M14" s="1239">
        <f>SUM(M12:M13)</f>
        <v>175608</v>
      </c>
      <c r="N14" s="1229"/>
      <c r="O14" s="1221"/>
      <c r="P14" s="1216"/>
    </row>
    <row r="15" spans="1:16" ht="13.8" thickTop="1">
      <c r="A15" s="1221"/>
      <c r="B15" s="1240"/>
      <c r="C15" s="1230"/>
      <c r="D15" s="1241"/>
      <c r="E15" s="1241"/>
      <c r="F15" s="1227"/>
      <c r="G15" s="1241"/>
      <c r="H15" s="1227"/>
      <c r="I15" s="1227"/>
      <c r="J15" s="1227"/>
      <c r="K15" s="1227"/>
      <c r="L15" s="1227"/>
      <c r="M15" s="1227"/>
      <c r="N15" s="1229"/>
      <c r="O15" s="1221"/>
      <c r="P15" s="1216"/>
    </row>
    <row r="16" spans="1:16">
      <c r="A16" s="1221"/>
      <c r="B16" s="1225" t="str">
        <f>CONCATENATE(" * חישוב ההצמדה על המלוות נעשה בהתאם למדד המחירים לצרכן לחודש נובמבר ",'הגדרות כלליות'!$D$10,"  (מדד ידוע).")</f>
        <v xml:space="preserve"> * חישוב ההצמדה על המלוות נעשה בהתאם למדד המחירים לצרכן לחודש נובמבר 2015  (מדד ידוע).</v>
      </c>
      <c r="C16" s="1227"/>
      <c r="D16" s="1227"/>
      <c r="E16" s="1227"/>
      <c r="F16" s="1227"/>
      <c r="G16" s="1227"/>
      <c r="H16" s="1227"/>
      <c r="I16" s="1227"/>
      <c r="J16" s="1227"/>
      <c r="K16" s="1227"/>
      <c r="L16" s="1227"/>
      <c r="M16" s="1227"/>
      <c r="N16" s="1229"/>
      <c r="O16" s="1221"/>
      <c r="P16" s="1216"/>
    </row>
    <row r="17" spans="1:16">
      <c r="A17" s="1221"/>
      <c r="B17" s="2630" t="str">
        <f>IF('ביאור 4'!E13&lt;&gt;0,CONCATENATE("**כולל הלוואות שמוחזרו בסך ",'ביאור 4'!E13," אלפי ש''ח"),"")</f>
        <v/>
      </c>
      <c r="C17" s="1227"/>
      <c r="D17" s="1227"/>
      <c r="E17" s="1227"/>
      <c r="F17" s="1227"/>
      <c r="G17" s="1227"/>
      <c r="H17" s="1227"/>
      <c r="I17" s="1227"/>
      <c r="J17" s="1227"/>
      <c r="K17" s="1227"/>
      <c r="L17" s="1227"/>
      <c r="M17" s="1227"/>
      <c r="N17" s="1229"/>
      <c r="O17" s="1221"/>
      <c r="P17" s="1216"/>
    </row>
    <row r="18" spans="1:16">
      <c r="A18" s="1221"/>
      <c r="B18" s="2630"/>
      <c r="C18" s="1230"/>
      <c r="D18" s="1241"/>
      <c r="E18" s="1241"/>
      <c r="F18" s="1227"/>
      <c r="G18" s="1241"/>
      <c r="H18" s="1227"/>
      <c r="I18" s="1227"/>
      <c r="J18" s="1227"/>
      <c r="K18" s="1227"/>
      <c r="L18" s="1227"/>
      <c r="M18" s="1227"/>
      <c r="N18" s="1229"/>
      <c r="O18" s="1221"/>
      <c r="P18" s="1216"/>
    </row>
    <row r="19" spans="1:16">
      <c r="A19" s="1221"/>
      <c r="B19" s="2630"/>
      <c r="C19" s="1230"/>
      <c r="D19" s="1241"/>
      <c r="E19" s="1241"/>
      <c r="F19" s="1227"/>
      <c r="G19" s="1241"/>
      <c r="H19" s="1227"/>
      <c r="I19" s="1227"/>
      <c r="J19" s="1227"/>
      <c r="K19" s="1227"/>
      <c r="L19" s="1227"/>
      <c r="M19" s="1227"/>
      <c r="N19" s="1229"/>
      <c r="O19" s="1221"/>
      <c r="P19" s="1216"/>
    </row>
    <row r="20" spans="1:16">
      <c r="A20" s="1221"/>
      <c r="B20" s="1286" t="s">
        <v>1267</v>
      </c>
      <c r="C20" s="3110"/>
      <c r="D20" s="3110"/>
      <c r="E20" s="3110"/>
      <c r="F20" s="3110"/>
      <c r="G20" s="3110"/>
      <c r="H20" s="1675"/>
      <c r="I20" s="1227"/>
      <c r="J20" s="1227"/>
      <c r="K20" s="1227"/>
      <c r="L20" s="1227"/>
      <c r="M20" s="1227"/>
      <c r="N20" s="1229"/>
      <c r="O20" s="1221"/>
      <c r="P20" s="1216"/>
    </row>
    <row r="21" spans="1:16" ht="20.25" customHeight="1">
      <c r="A21" s="1221"/>
      <c r="B21" s="1225" t="s">
        <v>875</v>
      </c>
      <c r="C21" s="1226" t="str">
        <f>CONCATENATE('הגדרות כלליות'!$D$18,".",'הגדרות כלליות'!$D$10)</f>
        <v>31.12.2015</v>
      </c>
      <c r="D21" s="1230"/>
      <c r="E21" s="1226" t="str">
        <f>CONCATENATE('הגדרות כלליות'!$D$18,".",'הגדרות כלליות'!$D$12)</f>
        <v>31.12.2014</v>
      </c>
      <c r="F21" s="1230"/>
      <c r="G21" s="1228" t="str">
        <f>CONCATENATE('הגדרות כלליות'!$D$18,".",'הגדרות כלליות'!$D$14)</f>
        <v>31.12.2013</v>
      </c>
      <c r="H21" s="1229"/>
      <c r="I21" s="1227"/>
      <c r="J21" s="1227"/>
      <c r="K21" s="1227"/>
      <c r="L21" s="1227"/>
      <c r="M21" s="1227"/>
      <c r="N21" s="1229"/>
      <c r="O21" s="1221"/>
      <c r="P21" s="1216"/>
    </row>
    <row r="22" spans="1:16">
      <c r="A22" s="1221"/>
      <c r="B22" s="1225" t="s">
        <v>864</v>
      </c>
      <c r="C22" s="1243">
        <f>I11</f>
        <v>22998</v>
      </c>
      <c r="D22" s="1231"/>
      <c r="E22" s="1243">
        <f>K11</f>
        <v>25763</v>
      </c>
      <c r="F22" s="1231"/>
      <c r="G22" s="1243">
        <f>M11</f>
        <v>25403</v>
      </c>
      <c r="H22" s="1229"/>
      <c r="I22" s="1227"/>
      <c r="J22" s="1227"/>
      <c r="K22" s="1227"/>
      <c r="L22" s="1227"/>
      <c r="M22" s="1227"/>
      <c r="N22" s="1229"/>
      <c r="O22" s="1221"/>
      <c r="P22" s="1216"/>
    </row>
    <row r="23" spans="1:16">
      <c r="A23" s="1221"/>
      <c r="B23" s="1225" t="s">
        <v>876</v>
      </c>
      <c r="C23" s="1244">
        <v>5247</v>
      </c>
      <c r="D23" s="1231"/>
      <c r="E23" s="1244">
        <v>6392</v>
      </c>
      <c r="F23" s="1231"/>
      <c r="G23" s="1244">
        <v>7601</v>
      </c>
      <c r="H23" s="1229"/>
      <c r="I23" s="1227"/>
      <c r="J23" s="1227"/>
      <c r="K23" s="1227"/>
      <c r="L23" s="1227"/>
      <c r="M23" s="1227"/>
      <c r="N23" s="1229"/>
      <c r="O23" s="1221"/>
      <c r="P23" s="1216"/>
    </row>
    <row r="24" spans="1:16">
      <c r="A24" s="1221"/>
      <c r="B24" s="1225" t="s">
        <v>877</v>
      </c>
      <c r="C24" s="1244">
        <v>6388</v>
      </c>
      <c r="D24" s="1231"/>
      <c r="E24" s="1244">
        <v>8127</v>
      </c>
      <c r="F24" s="1231"/>
      <c r="G24" s="1244">
        <v>8330</v>
      </c>
      <c r="H24" s="1229"/>
      <c r="I24" s="1227"/>
      <c r="J24" s="1227"/>
      <c r="K24" s="1227"/>
      <c r="L24" s="1227"/>
      <c r="M24" s="1227"/>
      <c r="N24" s="1229"/>
      <c r="O24" s="1221"/>
      <c r="P24" s="1216"/>
    </row>
    <row r="25" spans="1:16" ht="13.8" thickBot="1">
      <c r="A25" s="1221"/>
      <c r="B25" s="1225" t="s">
        <v>878</v>
      </c>
      <c r="C25" s="1245">
        <f>C22+C23+C24</f>
        <v>34633</v>
      </c>
      <c r="D25" s="1231"/>
      <c r="E25" s="1245">
        <f>E22+E23+E24</f>
        <v>40282</v>
      </c>
      <c r="F25" s="1231"/>
      <c r="G25" s="1245">
        <f>G22+G23+G24</f>
        <v>41334</v>
      </c>
      <c r="H25" s="1229"/>
      <c r="I25" s="1227"/>
      <c r="J25" s="1227"/>
      <c r="K25" s="1227"/>
      <c r="L25" s="1227"/>
      <c r="M25" s="1227"/>
      <c r="N25" s="1229"/>
      <c r="O25" s="1221"/>
      <c r="P25" s="1216"/>
    </row>
    <row r="26" spans="1:16" ht="45.75" customHeight="1" thickTop="1">
      <c r="A26" s="1221"/>
      <c r="B26" s="3101"/>
      <c r="C26" s="1227"/>
      <c r="D26" s="1227"/>
      <c r="E26" s="1227"/>
      <c r="F26" s="1227"/>
      <c r="G26" s="1227"/>
      <c r="H26" s="1229"/>
      <c r="I26" s="1227"/>
      <c r="J26" s="1227"/>
      <c r="K26" s="1227"/>
      <c r="L26" s="1227"/>
      <c r="M26" s="1227"/>
      <c r="N26" s="1229"/>
      <c r="O26" s="1221"/>
      <c r="P26" s="1216"/>
    </row>
    <row r="27" spans="1:16">
      <c r="A27" s="1221"/>
      <c r="B27" s="1252"/>
      <c r="C27" s="1253"/>
      <c r="D27" s="1254"/>
      <c r="E27" s="1254"/>
      <c r="F27" s="1255"/>
      <c r="G27" s="1255"/>
      <c r="H27" s="1256"/>
      <c r="I27" s="1227"/>
      <c r="J27" s="1227"/>
      <c r="K27" s="1227"/>
      <c r="L27" s="1227"/>
      <c r="M27" s="1227"/>
      <c r="N27" s="1229"/>
      <c r="O27" s="1221"/>
      <c r="P27" s="1216"/>
    </row>
    <row r="28" spans="1:16">
      <c r="A28" s="1221"/>
      <c r="B28" s="1225" t="s">
        <v>52</v>
      </c>
      <c r="C28" s="1231"/>
      <c r="D28" s="1231"/>
      <c r="E28" s="1231"/>
      <c r="F28" s="1231"/>
      <c r="G28" s="1231"/>
      <c r="H28" s="1227"/>
      <c r="I28" s="1227"/>
      <c r="J28" s="1227"/>
      <c r="K28" s="1227"/>
      <c r="L28" s="1227"/>
      <c r="M28" s="1227"/>
      <c r="N28" s="1229"/>
      <c r="O28" s="1221"/>
      <c r="P28" s="1216"/>
    </row>
    <row r="29" spans="1:16">
      <c r="A29" s="1221"/>
      <c r="B29" s="1225" t="s">
        <v>879</v>
      </c>
      <c r="C29" s="1243">
        <f>'טופס 2'!P14</f>
        <v>24801</v>
      </c>
      <c r="D29" s="1231"/>
      <c r="E29" s="1246">
        <f>'טופס 2'!R14</f>
        <v>30031</v>
      </c>
      <c r="F29" s="1231"/>
      <c r="G29" s="1231"/>
      <c r="H29" s="1227"/>
      <c r="I29" s="1227"/>
      <c r="J29" s="1227"/>
      <c r="K29" s="1227"/>
      <c r="L29" s="1227"/>
      <c r="M29" s="1227"/>
      <c r="N29" s="1229"/>
      <c r="O29" s="1221"/>
      <c r="P29" s="1216"/>
    </row>
    <row r="30" spans="1:16">
      <c r="A30" s="1221"/>
      <c r="B30" s="1225" t="s">
        <v>880</v>
      </c>
      <c r="C30" s="1247">
        <f>'נתונים לנספח 1 לטופס 2'!D68</f>
        <v>9369</v>
      </c>
      <c r="D30" s="1231"/>
      <c r="E30" s="1246">
        <f>'נתונים לנספח 1 לטופס 2'!E68</f>
        <v>9760</v>
      </c>
      <c r="F30" s="1231"/>
      <c r="G30" s="1231"/>
      <c r="H30" s="1227"/>
      <c r="I30" s="1227"/>
      <c r="J30" s="1227"/>
      <c r="K30" s="1227"/>
      <c r="L30" s="1227"/>
      <c r="M30" s="1227"/>
      <c r="N30" s="1229"/>
      <c r="O30" s="1221"/>
      <c r="P30" s="1216"/>
    </row>
    <row r="31" spans="1:16">
      <c r="A31" s="1221"/>
      <c r="B31" s="1225" t="s">
        <v>881</v>
      </c>
      <c r="C31" s="1244">
        <f>+'ביאור 4'!E13</f>
        <v>0</v>
      </c>
      <c r="D31" s="1231"/>
      <c r="E31" s="1244">
        <f>+'ביאור 4'!G13</f>
        <v>0</v>
      </c>
      <c r="F31" s="1231"/>
      <c r="G31" s="1231"/>
      <c r="H31" s="1227"/>
      <c r="I31" s="1227"/>
      <c r="J31" s="1227"/>
      <c r="K31" s="1227"/>
      <c r="L31" s="1227"/>
      <c r="M31" s="1227"/>
      <c r="N31" s="1229"/>
      <c r="O31" s="1221"/>
      <c r="P31" s="1216"/>
    </row>
    <row r="32" spans="1:16">
      <c r="A32" s="1221"/>
      <c r="B32" s="1225" t="s">
        <v>928</v>
      </c>
      <c r="C32" s="1247">
        <f>'נתונים לנספח 1 לטופס 2'!D70</f>
        <v>463</v>
      </c>
      <c r="D32" s="1231"/>
      <c r="E32" s="1246">
        <f>'נתונים לנספח 1 לטופס 2'!E70</f>
        <v>491</v>
      </c>
      <c r="F32" s="1231"/>
      <c r="G32" s="1231">
        <f>SUM(G29:G31)</f>
        <v>0</v>
      </c>
      <c r="H32" s="1227"/>
      <c r="I32" s="1227"/>
      <c r="J32" s="1227"/>
      <c r="K32" s="1227"/>
      <c r="L32" s="1227"/>
      <c r="M32" s="1227"/>
      <c r="N32" s="1229"/>
      <c r="O32" s="1221"/>
      <c r="P32" s="1216"/>
    </row>
    <row r="33" spans="1:16" ht="13.8" thickBot="1">
      <c r="A33" s="1221"/>
      <c r="B33" s="1225" t="s">
        <v>782</v>
      </c>
      <c r="C33" s="1248">
        <f>SUM(C29:C32)</f>
        <v>34633</v>
      </c>
      <c r="D33" s="1241"/>
      <c r="E33" s="1248">
        <f>SUM(E29:E32)</f>
        <v>40282</v>
      </c>
      <c r="F33" s="1227"/>
      <c r="G33" s="1241"/>
      <c r="H33" s="1227"/>
      <c r="I33" s="1227"/>
      <c r="J33" s="1227"/>
      <c r="K33" s="1227"/>
      <c r="L33" s="1227"/>
      <c r="M33" s="1227"/>
      <c r="N33" s="1229"/>
      <c r="O33" s="1221"/>
      <c r="P33" s="1216"/>
    </row>
    <row r="34" spans="1:16" ht="13.8" thickTop="1">
      <c r="A34" s="1221"/>
      <c r="B34" s="1225"/>
      <c r="C34" s="1230"/>
      <c r="D34" s="1231"/>
      <c r="E34" s="1231"/>
      <c r="F34" s="1227"/>
      <c r="G34" s="1241"/>
      <c r="H34" s="1227"/>
      <c r="I34" s="1227"/>
      <c r="J34" s="1227"/>
      <c r="K34" s="1227"/>
      <c r="L34" s="1227"/>
      <c r="M34" s="1227"/>
      <c r="N34" s="1229"/>
      <c r="O34" s="1221"/>
      <c r="P34" s="1216"/>
    </row>
    <row r="35" spans="1:16">
      <c r="A35" s="1221"/>
      <c r="B35" s="1242" t="s">
        <v>882</v>
      </c>
      <c r="C35" s="1230"/>
      <c r="D35" s="1231"/>
      <c r="E35" s="1231"/>
      <c r="F35" s="1227"/>
      <c r="G35" s="1227"/>
      <c r="H35" s="1227"/>
      <c r="I35" s="1227"/>
      <c r="J35" s="1227"/>
      <c r="K35" s="1227"/>
      <c r="L35" s="1227"/>
      <c r="M35" s="1227"/>
      <c r="N35" s="1229"/>
      <c r="O35" s="1221"/>
      <c r="P35" s="1216"/>
    </row>
    <row r="36" spans="1:16">
      <c r="A36" s="1221"/>
      <c r="B36" s="1225"/>
      <c r="C36" s="1230"/>
      <c r="D36" s="1231"/>
      <c r="E36" s="1231"/>
      <c r="F36" s="1227"/>
      <c r="G36" s="1227"/>
      <c r="H36" s="1227"/>
      <c r="I36" s="1227"/>
      <c r="J36" s="1227"/>
      <c r="K36" s="1227"/>
      <c r="L36" s="1227"/>
      <c r="M36" s="1227"/>
      <c r="N36" s="1229"/>
      <c r="O36" s="1221"/>
      <c r="P36" s="1216"/>
    </row>
    <row r="37" spans="1:16">
      <c r="A37" s="1221"/>
      <c r="B37" s="1225" t="s">
        <v>883</v>
      </c>
      <c r="C37" s="1249">
        <v>22840</v>
      </c>
      <c r="D37" s="1231"/>
      <c r="E37" s="1231"/>
      <c r="F37" s="1227"/>
      <c r="G37" s="1227"/>
      <c r="H37" s="1227"/>
      <c r="I37" s="1227"/>
      <c r="J37" s="1227"/>
      <c r="K37" s="1227"/>
      <c r="L37" s="1227"/>
      <c r="M37" s="1227"/>
      <c r="N37" s="1229"/>
      <c r="O37" s="1221"/>
      <c r="P37" s="1216"/>
    </row>
    <row r="38" spans="1:16">
      <c r="A38" s="1221"/>
      <c r="B38" s="1225" t="s">
        <v>884</v>
      </c>
      <c r="C38" s="1249">
        <v>22442</v>
      </c>
      <c r="D38" s="1231"/>
      <c r="E38" s="1231"/>
      <c r="F38" s="1227"/>
      <c r="G38" s="1227"/>
      <c r="H38" s="1227"/>
      <c r="I38" s="1227"/>
      <c r="J38" s="1227"/>
      <c r="K38" s="1227"/>
      <c r="L38" s="1227"/>
      <c r="M38" s="1227"/>
      <c r="N38" s="1229"/>
      <c r="O38" s="1221"/>
      <c r="P38" s="1216"/>
    </row>
    <row r="39" spans="1:16">
      <c r="A39" s="1221"/>
      <c r="B39" s="1225" t="s">
        <v>885</v>
      </c>
      <c r="C39" s="1249">
        <v>21415</v>
      </c>
      <c r="D39" s="1231"/>
      <c r="E39" s="1231"/>
      <c r="F39" s="1227"/>
      <c r="G39" s="1227"/>
      <c r="H39" s="1227"/>
      <c r="I39" s="1227"/>
      <c r="J39" s="1227"/>
      <c r="K39" s="1227"/>
      <c r="L39" s="1227"/>
      <c r="M39" s="1227"/>
      <c r="N39" s="1229"/>
      <c r="O39" s="1221"/>
      <c r="P39" s="1216"/>
    </row>
    <row r="40" spans="1:16">
      <c r="A40" s="1221"/>
      <c r="B40" s="1225" t="s">
        <v>886</v>
      </c>
      <c r="C40" s="1249">
        <v>19358</v>
      </c>
      <c r="D40" s="1231"/>
      <c r="E40" s="1231"/>
      <c r="F40" s="1227"/>
      <c r="G40" s="1227"/>
      <c r="H40" s="1227"/>
      <c r="I40" s="1227"/>
      <c r="J40" s="1227"/>
      <c r="K40" s="1227"/>
      <c r="L40" s="1227"/>
      <c r="M40" s="1227"/>
      <c r="N40" s="1229"/>
      <c r="O40" s="1221"/>
      <c r="P40" s="1216"/>
    </row>
    <row r="41" spans="1:16">
      <c r="A41" s="1221"/>
      <c r="B41" s="1225" t="s">
        <v>887</v>
      </c>
      <c r="C41" s="1249">
        <v>14934</v>
      </c>
      <c r="D41" s="1231"/>
      <c r="E41" s="1231"/>
      <c r="F41" s="1227"/>
      <c r="G41" s="1227"/>
      <c r="H41" s="1227"/>
      <c r="I41" s="1227"/>
      <c r="J41" s="1227"/>
      <c r="K41" s="1227"/>
      <c r="L41" s="1227"/>
      <c r="M41" s="1227"/>
      <c r="N41" s="1229"/>
      <c r="O41" s="1221"/>
      <c r="P41" s="1216"/>
    </row>
    <row r="42" spans="1:16">
      <c r="A42" s="1221"/>
      <c r="B42" s="1225" t="s">
        <v>888</v>
      </c>
      <c r="C42" s="1250">
        <v>27439</v>
      </c>
      <c r="D42" s="1231"/>
      <c r="E42" s="1231"/>
      <c r="F42" s="1227"/>
      <c r="G42" s="1227"/>
      <c r="H42" s="1227"/>
      <c r="I42" s="1227"/>
      <c r="J42" s="1227"/>
      <c r="K42" s="1227"/>
      <c r="L42" s="1227"/>
      <c r="M42" s="1227"/>
      <c r="N42" s="1229"/>
      <c r="O42" s="1221"/>
      <c r="P42" s="1216"/>
    </row>
    <row r="43" spans="1:16" ht="13.8" thickBot="1">
      <c r="A43" s="1221"/>
      <c r="B43" s="1225"/>
      <c r="C43" s="1251">
        <f>SUM(C37:C42)</f>
        <v>128428</v>
      </c>
      <c r="D43" s="1231"/>
      <c r="E43" s="1231"/>
      <c r="F43" s="1227"/>
      <c r="G43" s="1227"/>
      <c r="H43" s="1227"/>
      <c r="I43" s="1227"/>
      <c r="J43" s="1227"/>
      <c r="K43" s="1227"/>
      <c r="L43" s="1227"/>
      <c r="M43" s="1227"/>
      <c r="N43" s="1229"/>
      <c r="O43" s="1221"/>
      <c r="P43" s="1216"/>
    </row>
    <row r="44" spans="1:16" ht="13.8" thickTop="1">
      <c r="A44" s="1221"/>
      <c r="B44" s="2630" t="s">
        <v>350</v>
      </c>
      <c r="C44" s="1231"/>
      <c r="D44" s="1231"/>
      <c r="E44" s="1231"/>
      <c r="F44" s="1227"/>
      <c r="G44" s="1227"/>
      <c r="H44" s="1227"/>
      <c r="I44" s="1227"/>
      <c r="J44" s="1227"/>
      <c r="K44" s="1227"/>
      <c r="L44" s="1227"/>
      <c r="M44" s="1227"/>
      <c r="N44" s="1229"/>
      <c r="O44" s="1221"/>
      <c r="P44" s="1216"/>
    </row>
    <row r="45" spans="1:16">
      <c r="A45" s="1221"/>
      <c r="B45" s="1252"/>
      <c r="C45" s="1253"/>
      <c r="D45" s="1254"/>
      <c r="E45" s="1254"/>
      <c r="F45" s="1255"/>
      <c r="G45" s="1255"/>
      <c r="H45" s="1255"/>
      <c r="I45" s="1255"/>
      <c r="J45" s="1255"/>
      <c r="K45" s="1255"/>
      <c r="L45" s="1255"/>
      <c r="M45" s="1255"/>
      <c r="N45" s="1256"/>
      <c r="O45" s="1221"/>
      <c r="P45" s="1216"/>
    </row>
    <row r="46" spans="1:16">
      <c r="A46" s="1221"/>
      <c r="B46" s="1221"/>
      <c r="C46" s="1257"/>
      <c r="D46" s="1258"/>
      <c r="E46" s="1258"/>
      <c r="F46" s="1221"/>
      <c r="G46" s="1221"/>
      <c r="H46" s="1221"/>
      <c r="I46" s="1221"/>
      <c r="J46" s="1221"/>
      <c r="K46" s="1221"/>
      <c r="L46" s="1221"/>
      <c r="M46" s="1221"/>
      <c r="N46" s="1221"/>
      <c r="O46" s="1221"/>
      <c r="P46" s="1216"/>
    </row>
    <row r="47" spans="1:16" ht="13.8" thickBot="1">
      <c r="A47" s="1221"/>
      <c r="B47" s="1221"/>
      <c r="C47" s="1257"/>
      <c r="D47" s="1258"/>
      <c r="E47" s="1258"/>
      <c r="F47" s="1221"/>
      <c r="G47" s="1221"/>
      <c r="H47" s="1221"/>
      <c r="I47" s="1221"/>
      <c r="J47" s="1221"/>
      <c r="K47" s="1221"/>
      <c r="L47" s="1221"/>
      <c r="M47" s="1221"/>
      <c r="N47" s="1221"/>
      <c r="O47" s="1221"/>
      <c r="P47" s="1216"/>
    </row>
    <row r="48" spans="1:16" ht="13.8" thickTop="1">
      <c r="A48" s="1259"/>
      <c r="B48" s="1259"/>
      <c r="C48" s="1260"/>
      <c r="D48" s="1261"/>
      <c r="E48" s="1261"/>
      <c r="F48" s="1259"/>
      <c r="G48" s="1259"/>
      <c r="H48" s="1259"/>
      <c r="I48" s="1259"/>
      <c r="J48" s="1259"/>
      <c r="K48" s="1259"/>
      <c r="L48" s="1259"/>
      <c r="M48" s="1259"/>
      <c r="N48" s="1259"/>
      <c r="O48" s="1259"/>
    </row>
    <row r="49" spans="4:5">
      <c r="D49" s="1263"/>
      <c r="E49" s="1263"/>
    </row>
    <row r="50" spans="4:5">
      <c r="D50" s="1263"/>
      <c r="E50" s="1263"/>
    </row>
    <row r="51" spans="4:5">
      <c r="D51" s="1263"/>
      <c r="E51" s="1263"/>
    </row>
    <row r="52" spans="4:5">
      <c r="D52" s="1263"/>
      <c r="E52" s="1263"/>
    </row>
    <row r="53" spans="4:5">
      <c r="D53" s="1263"/>
      <c r="E53" s="1263"/>
    </row>
    <row r="54" spans="4:5">
      <c r="D54" s="1263"/>
      <c r="E54" s="1263"/>
    </row>
    <row r="55" spans="4:5">
      <c r="D55" s="1263"/>
      <c r="E55" s="1263"/>
    </row>
    <row r="56" spans="4:5">
      <c r="D56" s="1263"/>
      <c r="E56" s="1263"/>
    </row>
    <row r="182" spans="2:13" ht="15.6">
      <c r="B182" s="3525" t="str">
        <f>C1</f>
        <v>עירית הרצליה</v>
      </c>
      <c r="C182" s="3525"/>
      <c r="D182" s="3525"/>
      <c r="E182" s="3525"/>
      <c r="F182" s="3525"/>
      <c r="G182" s="3525"/>
      <c r="H182" s="3525"/>
      <c r="I182" s="3525"/>
      <c r="J182" s="3525"/>
      <c r="K182" s="3525"/>
      <c r="L182" s="3525"/>
    </row>
    <row r="183" spans="2:13" ht="15.6">
      <c r="B183" s="3525" t="str">
        <f>C2</f>
        <v>מצב חשבון המלוות לפרעון</v>
      </c>
      <c r="C183" s="3525"/>
      <c r="D183" s="3525"/>
      <c r="E183" s="3525"/>
      <c r="F183" s="3525"/>
      <c r="G183" s="3525"/>
      <c r="H183" s="3525"/>
      <c r="I183" s="3525"/>
      <c r="J183" s="3525"/>
      <c r="K183" s="3525"/>
      <c r="L183" s="3525"/>
    </row>
    <row r="184" spans="2:13" ht="15.6">
      <c r="B184" s="3525" t="str">
        <f>C3</f>
        <v xml:space="preserve"> ליום 31 בדצמבר 2015 (אלפי ש''ח)</v>
      </c>
      <c r="C184" s="3525"/>
      <c r="D184" s="3525"/>
      <c r="E184" s="3525"/>
      <c r="F184" s="3525"/>
      <c r="G184" s="3525"/>
      <c r="H184" s="3525"/>
      <c r="I184" s="3525"/>
      <c r="J184" s="3525"/>
      <c r="K184" s="3525"/>
      <c r="L184" s="3525"/>
    </row>
    <row r="188" spans="2:13">
      <c r="B188" s="1217">
        <f t="shared" ref="B188:G189" si="0">B6</f>
        <v>0</v>
      </c>
      <c r="C188" s="1601" t="str">
        <f t="shared" si="0"/>
        <v>מים</v>
      </c>
      <c r="D188" s="1601">
        <f t="shared" si="0"/>
        <v>0</v>
      </c>
      <c r="E188" s="1601" t="str">
        <f t="shared" si="0"/>
        <v>ביוב</v>
      </c>
      <c r="F188" s="1601">
        <f t="shared" si="0"/>
        <v>0</v>
      </c>
      <c r="G188" s="1601" t="str">
        <f t="shared" si="0"/>
        <v>אחרות</v>
      </c>
      <c r="I188" s="1601"/>
      <c r="J188" s="1601">
        <f t="shared" ref="J188:J196" si="1">J6</f>
        <v>0</v>
      </c>
      <c r="K188" s="1601" t="str">
        <f>I6</f>
        <v>סה"כ</v>
      </c>
      <c r="L188" s="1601">
        <f t="shared" ref="L188:M196" si="2">L6</f>
        <v>0</v>
      </c>
      <c r="M188" s="1601">
        <f t="shared" si="2"/>
        <v>0</v>
      </c>
    </row>
    <row r="189" spans="2:13" ht="22.5" customHeight="1">
      <c r="B189" s="1217">
        <f t="shared" si="0"/>
        <v>0</v>
      </c>
      <c r="C189" s="1264" t="str">
        <f t="shared" si="0"/>
        <v>31.12.2015</v>
      </c>
      <c r="D189" s="1265">
        <f t="shared" si="0"/>
        <v>0</v>
      </c>
      <c r="E189" s="1264" t="str">
        <f t="shared" si="0"/>
        <v>31.12.2015</v>
      </c>
      <c r="F189" s="1217">
        <f t="shared" si="0"/>
        <v>0</v>
      </c>
      <c r="G189" s="1265" t="str">
        <f t="shared" si="0"/>
        <v>31.12.2015</v>
      </c>
      <c r="I189" s="1264" t="str">
        <f t="shared" ref="I189:I196" si="3">I7</f>
        <v>31.12.2015</v>
      </c>
      <c r="J189" s="1265">
        <f t="shared" si="1"/>
        <v>0</v>
      </c>
      <c r="K189" s="1264" t="str">
        <f t="shared" ref="K189:K196" si="4">K7</f>
        <v>31.12.2014</v>
      </c>
      <c r="L189" s="1217">
        <f t="shared" si="2"/>
        <v>0</v>
      </c>
      <c r="M189" s="1265" t="str">
        <f t="shared" si="2"/>
        <v>31.12.2013</v>
      </c>
    </row>
    <row r="190" spans="2:13" ht="26.4">
      <c r="B190" s="1266" t="str">
        <f>IF(AND($C8=0,$E8=0,$G8=0,$I8=0,$K8=0,$M8=0),"",$B8)</f>
        <v>יתרות המלוות (קרן) שנתקבלו למעשה ונשארו לפרעון בתחילת השנה</v>
      </c>
      <c r="C190" s="1267">
        <f t="shared" ref="C190:G197" si="5">C8</f>
        <v>500</v>
      </c>
      <c r="D190" s="1267">
        <f t="shared" si="5"/>
        <v>0</v>
      </c>
      <c r="E190" s="1267">
        <f t="shared" si="5"/>
        <v>36710</v>
      </c>
      <c r="F190" s="1267">
        <f t="shared" si="5"/>
        <v>0</v>
      </c>
      <c r="G190" s="1267">
        <f t="shared" si="5"/>
        <v>95299</v>
      </c>
      <c r="I190" s="1267">
        <f t="shared" si="3"/>
        <v>132509</v>
      </c>
      <c r="J190" s="1267">
        <f t="shared" si="1"/>
        <v>0</v>
      </c>
      <c r="K190" s="1267">
        <f t="shared" si="4"/>
        <v>143139</v>
      </c>
      <c r="L190" s="1267">
        <f t="shared" si="2"/>
        <v>0</v>
      </c>
      <c r="M190" s="1267">
        <f t="shared" si="2"/>
        <v>168542</v>
      </c>
    </row>
    <row r="191" spans="2:13">
      <c r="B191" s="1266" t="str">
        <f>IF(AND($C9=0,$E9=0,$G9=0,$I9=0,$K9=0,$M9=0),"",$B9)</f>
        <v>סה"כ מלוות שנתקבלו במשך השנה (**)</v>
      </c>
      <c r="C191" s="1267">
        <f t="shared" si="5"/>
        <v>0</v>
      </c>
      <c r="D191" s="1267">
        <f t="shared" si="5"/>
        <v>0</v>
      </c>
      <c r="E191" s="1267">
        <f t="shared" si="5"/>
        <v>0</v>
      </c>
      <c r="F191" s="1267">
        <f t="shared" si="5"/>
        <v>0</v>
      </c>
      <c r="G191" s="1267">
        <f t="shared" si="5"/>
        <v>0</v>
      </c>
      <c r="I191" s="1267">
        <f t="shared" si="3"/>
        <v>0</v>
      </c>
      <c r="J191" s="1267">
        <f t="shared" si="1"/>
        <v>0</v>
      </c>
      <c r="K191" s="1267">
        <f t="shared" si="4"/>
        <v>15133</v>
      </c>
      <c r="L191" s="1267">
        <f t="shared" si="2"/>
        <v>0</v>
      </c>
      <c r="M191" s="1267">
        <f t="shared" si="2"/>
        <v>0</v>
      </c>
    </row>
    <row r="192" spans="2:13">
      <c r="B192" s="1217">
        <f>B10</f>
        <v>0</v>
      </c>
      <c r="C192" s="1268">
        <f t="shared" si="5"/>
        <v>500</v>
      </c>
      <c r="D192" s="1267">
        <f t="shared" si="5"/>
        <v>0</v>
      </c>
      <c r="E192" s="1268">
        <f t="shared" si="5"/>
        <v>36710</v>
      </c>
      <c r="F192" s="1267">
        <f t="shared" si="5"/>
        <v>0</v>
      </c>
      <c r="G192" s="1268">
        <f t="shared" si="5"/>
        <v>95299</v>
      </c>
      <c r="I192" s="1268">
        <f t="shared" si="3"/>
        <v>132509</v>
      </c>
      <c r="J192" s="1267">
        <f t="shared" si="1"/>
        <v>0</v>
      </c>
      <c r="K192" s="1268">
        <f t="shared" si="4"/>
        <v>158272</v>
      </c>
      <c r="L192" s="1267">
        <f t="shared" si="2"/>
        <v>0</v>
      </c>
      <c r="M192" s="1268">
        <f t="shared" si="2"/>
        <v>168542</v>
      </c>
    </row>
    <row r="193" spans="2:13">
      <c r="B193" s="1266" t="str">
        <f>IF(AND($C11=0,$E11=0,$G11=0,$I11=0,$K11=0,$M11=0),"",$B11)</f>
        <v>פחות  - תשלומים ע"ח קרן בלבד בשנת הדוח</v>
      </c>
      <c r="C193" s="1267">
        <f t="shared" si="5"/>
        <v>333</v>
      </c>
      <c r="D193" s="1267">
        <f t="shared" si="5"/>
        <v>0</v>
      </c>
      <c r="E193" s="1267">
        <f t="shared" si="5"/>
        <v>6097</v>
      </c>
      <c r="F193" s="1267">
        <f t="shared" si="5"/>
        <v>0</v>
      </c>
      <c r="G193" s="1267">
        <f t="shared" si="5"/>
        <v>16568</v>
      </c>
      <c r="I193" s="1267">
        <f t="shared" si="3"/>
        <v>22998</v>
      </c>
      <c r="J193" s="1267">
        <f t="shared" si="1"/>
        <v>0</v>
      </c>
      <c r="K193" s="1267">
        <f t="shared" si="4"/>
        <v>25763</v>
      </c>
      <c r="L193" s="1267">
        <f t="shared" si="2"/>
        <v>0</v>
      </c>
      <c r="M193" s="1267">
        <f t="shared" si="2"/>
        <v>25403</v>
      </c>
    </row>
    <row r="194" spans="2:13">
      <c r="B194" s="1266" t="str">
        <f>IF(AND($C12=0,$E12=0,$G12=0,$I12=0,$K12=0,$M12=0),"",$B12)</f>
        <v>יתרת מלוות (קרן בלבד) לסוף השנה</v>
      </c>
      <c r="C194" s="2764">
        <f t="shared" si="5"/>
        <v>167</v>
      </c>
      <c r="D194" s="1267">
        <f t="shared" si="5"/>
        <v>0</v>
      </c>
      <c r="E194" s="2764">
        <f t="shared" si="5"/>
        <v>30613</v>
      </c>
      <c r="F194" s="1267">
        <f t="shared" si="5"/>
        <v>0</v>
      </c>
      <c r="G194" s="2764">
        <f t="shared" si="5"/>
        <v>78731</v>
      </c>
      <c r="I194" s="2764">
        <f t="shared" si="3"/>
        <v>109511</v>
      </c>
      <c r="J194" s="1267">
        <f t="shared" si="1"/>
        <v>0</v>
      </c>
      <c r="K194" s="2764">
        <f t="shared" si="4"/>
        <v>132509</v>
      </c>
      <c r="L194" s="1267">
        <f t="shared" si="2"/>
        <v>0</v>
      </c>
      <c r="M194" s="2764">
        <f t="shared" si="2"/>
        <v>143139</v>
      </c>
    </row>
    <row r="195" spans="2:13">
      <c r="B195" s="1266" t="str">
        <f>IF(AND($C13=0,$E13=0,$G13=0,$I13=0,$K13=0,$M13=0),"",$B13)</f>
        <v>נוסף - הפרשי הצמדה על הקרן שנצברו לסוף השנה *</v>
      </c>
      <c r="C195" s="1267">
        <f t="shared" si="5"/>
        <v>50</v>
      </c>
      <c r="D195" s="1267">
        <f t="shared" si="5"/>
        <v>0</v>
      </c>
      <c r="E195" s="1267">
        <f t="shared" si="5"/>
        <v>6114</v>
      </c>
      <c r="F195" s="1267">
        <f t="shared" si="5"/>
        <v>0</v>
      </c>
      <c r="G195" s="1267">
        <f t="shared" si="5"/>
        <v>12753</v>
      </c>
      <c r="I195" s="1267">
        <f t="shared" si="3"/>
        <v>18917</v>
      </c>
      <c r="J195" s="1267">
        <f t="shared" si="1"/>
        <v>0</v>
      </c>
      <c r="K195" s="1267">
        <f t="shared" si="4"/>
        <v>25610</v>
      </c>
      <c r="L195" s="1267">
        <f t="shared" si="2"/>
        <v>0</v>
      </c>
      <c r="M195" s="1267">
        <f t="shared" si="2"/>
        <v>32469</v>
      </c>
    </row>
    <row r="196" spans="2:13" ht="13.8" thickBot="1">
      <c r="B196" s="1266" t="str">
        <f>IF(AND($C14=0,$E14=0,$G14=0,$I14=0,$K14=0,$M14=0),"",$B14)</f>
        <v>סה"כ עומס המלוות לסוף השנה כולל הפרשי הצמדה</v>
      </c>
      <c r="C196" s="2799">
        <f t="shared" si="5"/>
        <v>217</v>
      </c>
      <c r="D196" s="1267">
        <f t="shared" si="5"/>
        <v>0</v>
      </c>
      <c r="E196" s="2799">
        <f t="shared" si="5"/>
        <v>36727</v>
      </c>
      <c r="F196" s="1267">
        <f t="shared" si="5"/>
        <v>0</v>
      </c>
      <c r="G196" s="2799">
        <f t="shared" si="5"/>
        <v>91484</v>
      </c>
      <c r="I196" s="2799">
        <f t="shared" si="3"/>
        <v>128428</v>
      </c>
      <c r="J196" s="1267">
        <f t="shared" si="1"/>
        <v>0</v>
      </c>
      <c r="K196" s="2799">
        <f t="shared" si="4"/>
        <v>158119</v>
      </c>
      <c r="L196" s="1267">
        <f t="shared" si="2"/>
        <v>0</v>
      </c>
      <c r="M196" s="2799">
        <f t="shared" si="2"/>
        <v>175608</v>
      </c>
    </row>
    <row r="197" spans="2:13" ht="13.8" thickTop="1">
      <c r="B197" s="1266" t="str">
        <f>IF(AND($C15=0,$E15=0,$G15=0),"",$B15)</f>
        <v/>
      </c>
      <c r="C197" s="2904">
        <f t="shared" si="5"/>
        <v>0</v>
      </c>
      <c r="D197" s="1267">
        <f t="shared" si="5"/>
        <v>0</v>
      </c>
      <c r="E197" s="2904">
        <f t="shared" si="5"/>
        <v>0</v>
      </c>
      <c r="F197" s="1267">
        <f t="shared" si="5"/>
        <v>0</v>
      </c>
      <c r="G197" s="2904">
        <f t="shared" si="5"/>
        <v>0</v>
      </c>
    </row>
    <row r="198" spans="2:13">
      <c r="B198" s="1217" t="str">
        <f t="shared" ref="B198:B203" si="6">B16</f>
        <v xml:space="preserve"> * חישוב ההצמדה על המלוות נעשה בהתאם למדד המחירים לצרכן לחודש נובמבר 2015  (מדד ידוע).</v>
      </c>
      <c r="C198" s="1264"/>
      <c r="D198" s="1269"/>
      <c r="E198" s="1269"/>
      <c r="F198" s="1217"/>
      <c r="G198" s="1269"/>
    </row>
    <row r="199" spans="2:13">
      <c r="B199" s="1217" t="str">
        <f t="shared" si="6"/>
        <v/>
      </c>
      <c r="C199" s="1217"/>
      <c r="D199" s="1217"/>
      <c r="E199" s="1217"/>
      <c r="F199" s="1217"/>
      <c r="G199" s="1217"/>
    </row>
    <row r="200" spans="2:13">
      <c r="B200" s="1217">
        <f t="shared" si="6"/>
        <v>0</v>
      </c>
      <c r="C200" s="1217"/>
      <c r="D200" s="1217"/>
      <c r="E200" s="1217"/>
      <c r="F200" s="1217"/>
      <c r="G200" s="1217"/>
    </row>
    <row r="201" spans="2:13" ht="26.25" customHeight="1">
      <c r="B201" s="2907">
        <f t="shared" si="6"/>
        <v>0</v>
      </c>
      <c r="C201" s="1264">
        <f t="shared" ref="C201:G210" si="7">C19</f>
        <v>0</v>
      </c>
      <c r="D201" s="1269">
        <f t="shared" si="7"/>
        <v>0</v>
      </c>
      <c r="E201" s="1269">
        <f t="shared" si="7"/>
        <v>0</v>
      </c>
      <c r="F201" s="1217">
        <f t="shared" si="7"/>
        <v>0</v>
      </c>
      <c r="G201" s="1269">
        <f t="shared" si="7"/>
        <v>0</v>
      </c>
    </row>
    <row r="202" spans="2:13">
      <c r="B202" s="1270" t="str">
        <f t="shared" si="6"/>
        <v>סכום פרעון כלל המלוות</v>
      </c>
      <c r="C202" s="1264">
        <f t="shared" si="7"/>
        <v>0</v>
      </c>
      <c r="D202" s="1269">
        <f t="shared" si="7"/>
        <v>0</v>
      </c>
      <c r="E202" s="1269">
        <f t="shared" si="7"/>
        <v>0</v>
      </c>
      <c r="F202" s="1217">
        <f t="shared" si="7"/>
        <v>0</v>
      </c>
      <c r="G202" s="1269">
        <f t="shared" si="7"/>
        <v>0</v>
      </c>
    </row>
    <row r="203" spans="2:13">
      <c r="B203" s="1217" t="str">
        <f t="shared" si="6"/>
        <v>סכום פרעון המלוות בתקציב הרגיל בשנת הדוח:</v>
      </c>
      <c r="C203" s="1264" t="str">
        <f t="shared" si="7"/>
        <v>31.12.2015</v>
      </c>
      <c r="D203" s="1269">
        <f t="shared" si="7"/>
        <v>0</v>
      </c>
      <c r="E203" s="1269" t="str">
        <f t="shared" si="7"/>
        <v>31.12.2014</v>
      </c>
      <c r="F203" s="1217">
        <f t="shared" si="7"/>
        <v>0</v>
      </c>
      <c r="G203" s="1269" t="str">
        <f t="shared" si="7"/>
        <v>31.12.2013</v>
      </c>
    </row>
    <row r="204" spans="2:13">
      <c r="B204" s="1266" t="str">
        <f>IF(AND($C22=0,$E22=0,$G22=0),"",$B22)</f>
        <v>קרן</v>
      </c>
      <c r="C204" s="1265">
        <f t="shared" si="7"/>
        <v>22998</v>
      </c>
      <c r="D204" s="1265">
        <f t="shared" si="7"/>
        <v>0</v>
      </c>
      <c r="E204" s="1265">
        <f t="shared" si="7"/>
        <v>25763</v>
      </c>
      <c r="F204" s="1265">
        <f t="shared" si="7"/>
        <v>0</v>
      </c>
      <c r="G204" s="1265">
        <f t="shared" si="7"/>
        <v>25403</v>
      </c>
    </row>
    <row r="205" spans="2:13">
      <c r="B205" s="1266" t="str">
        <f>IF(AND($C23=0,$E23=0,$G23=0),"",$B23)</f>
        <v>ריבית</v>
      </c>
      <c r="C205" s="1265">
        <f t="shared" si="7"/>
        <v>5247</v>
      </c>
      <c r="D205" s="1265">
        <f t="shared" si="7"/>
        <v>0</v>
      </c>
      <c r="E205" s="1265">
        <f t="shared" si="7"/>
        <v>6392</v>
      </c>
      <c r="F205" s="1265">
        <f t="shared" si="7"/>
        <v>0</v>
      </c>
      <c r="G205" s="1265">
        <f t="shared" si="7"/>
        <v>7601</v>
      </c>
    </row>
    <row r="206" spans="2:13">
      <c r="B206" s="1266" t="str">
        <f>IF(AND($C24=0,$E24=0,$G24=0),"",$B24)</f>
        <v xml:space="preserve">הצמדה </v>
      </c>
      <c r="C206" s="1265">
        <f t="shared" si="7"/>
        <v>6388</v>
      </c>
      <c r="D206" s="1265">
        <f t="shared" si="7"/>
        <v>0</v>
      </c>
      <c r="E206" s="1265">
        <f t="shared" si="7"/>
        <v>8127</v>
      </c>
      <c r="F206" s="1265">
        <f t="shared" si="7"/>
        <v>0</v>
      </c>
      <c r="G206" s="1265">
        <f t="shared" si="7"/>
        <v>8330</v>
      </c>
    </row>
    <row r="207" spans="2:13" ht="13.8" thickBot="1">
      <c r="B207" s="1266" t="str">
        <f>IF(AND($C25=0,$E25=0,$G25=0),"",$B25)</f>
        <v xml:space="preserve">**סה"כ </v>
      </c>
      <c r="C207" s="2799">
        <f t="shared" si="7"/>
        <v>34633</v>
      </c>
      <c r="D207" s="1265">
        <f t="shared" si="7"/>
        <v>0</v>
      </c>
      <c r="E207" s="2799">
        <f t="shared" si="7"/>
        <v>40282</v>
      </c>
      <c r="F207" s="1265">
        <f t="shared" si="7"/>
        <v>0</v>
      </c>
      <c r="G207" s="2799">
        <f t="shared" si="7"/>
        <v>41334</v>
      </c>
    </row>
    <row r="208" spans="2:13" ht="37.5" customHeight="1" thickTop="1">
      <c r="B208" s="2907">
        <f>B26</f>
        <v>0</v>
      </c>
      <c r="C208" s="1265">
        <f t="shared" si="7"/>
        <v>0</v>
      </c>
      <c r="D208" s="1265">
        <f t="shared" si="7"/>
        <v>0</v>
      </c>
      <c r="E208" s="1265">
        <f t="shared" si="7"/>
        <v>0</v>
      </c>
      <c r="F208" s="1265">
        <f t="shared" si="7"/>
        <v>0</v>
      </c>
      <c r="G208" s="1265">
        <f t="shared" si="7"/>
        <v>0</v>
      </c>
    </row>
    <row r="209" spans="2:7">
      <c r="B209" s="1217">
        <f>B27</f>
        <v>0</v>
      </c>
      <c r="C209" s="1265">
        <f t="shared" si="7"/>
        <v>0</v>
      </c>
      <c r="D209" s="1265">
        <f t="shared" si="7"/>
        <v>0</v>
      </c>
      <c r="E209" s="1265">
        <f t="shared" si="7"/>
        <v>0</v>
      </c>
      <c r="F209" s="1265">
        <f t="shared" si="7"/>
        <v>0</v>
      </c>
      <c r="G209" s="1265">
        <f t="shared" si="7"/>
        <v>0</v>
      </c>
    </row>
    <row r="210" spans="2:7">
      <c r="B210" s="1217" t="str">
        <f>IF(AND($C$213=0,$E$213=0,$C$212=0,$E$212=0,$C$211=0,$E$211=0),"",B28)</f>
        <v xml:space="preserve">*** התאמה לטופס 2: </v>
      </c>
      <c r="C210" s="1265">
        <f t="shared" si="7"/>
        <v>0</v>
      </c>
      <c r="D210" s="1265">
        <f t="shared" si="7"/>
        <v>0</v>
      </c>
      <c r="E210" s="1265">
        <f t="shared" si="7"/>
        <v>0</v>
      </c>
      <c r="F210" s="1265">
        <f t="shared" si="7"/>
        <v>0</v>
      </c>
      <c r="G210" s="1265">
        <f t="shared" si="7"/>
        <v>0</v>
      </c>
    </row>
    <row r="211" spans="2:7">
      <c r="B211" s="1266" t="str">
        <f>IF(AND($C29=0,$E29=0,$G29=0),"",$B29)</f>
        <v>בסעיף פרעון מלוות</v>
      </c>
      <c r="C211" s="1265">
        <f t="shared" ref="C211:G213" si="8">C29</f>
        <v>24801</v>
      </c>
      <c r="D211" s="1265">
        <f t="shared" si="8"/>
        <v>0</v>
      </c>
      <c r="E211" s="1265">
        <f t="shared" si="8"/>
        <v>30031</v>
      </c>
      <c r="F211" s="1265">
        <f t="shared" si="8"/>
        <v>0</v>
      </c>
      <c r="G211" s="1265">
        <f t="shared" si="8"/>
        <v>0</v>
      </c>
    </row>
    <row r="212" spans="2:7">
      <c r="B212" s="1266" t="str">
        <f>IF(AND($C30=0,$E30=0,$G30=0),"",$B30)</f>
        <v>בסעיף מפעלי הביוב</v>
      </c>
      <c r="C212" s="1265">
        <f t="shared" si="8"/>
        <v>9369</v>
      </c>
      <c r="D212" s="1265">
        <f t="shared" si="8"/>
        <v>0</v>
      </c>
      <c r="E212" s="1265">
        <f t="shared" si="8"/>
        <v>9760</v>
      </c>
      <c r="F212" s="1265">
        <f t="shared" si="8"/>
        <v>0</v>
      </c>
      <c r="G212" s="1265">
        <f t="shared" si="8"/>
        <v>0</v>
      </c>
    </row>
    <row r="213" spans="2:7">
      <c r="B213" s="1266" t="str">
        <f>IF(AND($C31=0,$E31=0,$G31=0),"",$B31)</f>
        <v/>
      </c>
      <c r="C213" s="1265">
        <f t="shared" si="8"/>
        <v>0</v>
      </c>
      <c r="D213" s="1265">
        <f t="shared" si="8"/>
        <v>0</v>
      </c>
      <c r="E213" s="1265">
        <f t="shared" si="8"/>
        <v>0</v>
      </c>
      <c r="F213" s="1265">
        <f t="shared" si="8"/>
        <v>0</v>
      </c>
      <c r="G213" s="1265">
        <f t="shared" si="8"/>
        <v>0</v>
      </c>
    </row>
    <row r="214" spans="2:7">
      <c r="B214" s="1266" t="str">
        <f>IF(AND($C$213=0,$E$213=0,$C$212=0,$E$212=0,$C$211=0,$E$211=0),"",B32)</f>
        <v>בסעיף מפעל המים</v>
      </c>
      <c r="C214" s="1265">
        <f t="shared" ref="C214:G220" si="9">C32</f>
        <v>463</v>
      </c>
      <c r="D214" s="1265">
        <f t="shared" si="9"/>
        <v>0</v>
      </c>
      <c r="E214" s="1265">
        <f t="shared" si="9"/>
        <v>491</v>
      </c>
      <c r="F214" s="1265">
        <f t="shared" si="9"/>
        <v>0</v>
      </c>
      <c r="G214" s="1218">
        <f t="shared" si="9"/>
        <v>0</v>
      </c>
    </row>
    <row r="215" spans="2:7" ht="13.8" thickBot="1">
      <c r="B215" s="1217" t="str">
        <f>B33</f>
        <v>סה"כ</v>
      </c>
      <c r="C215" s="1271">
        <f t="shared" si="9"/>
        <v>34633</v>
      </c>
      <c r="D215" s="1269">
        <f t="shared" si="9"/>
        <v>0</v>
      </c>
      <c r="E215" s="1271">
        <f t="shared" si="9"/>
        <v>40282</v>
      </c>
      <c r="F215" s="1217">
        <f t="shared" si="9"/>
        <v>0</v>
      </c>
      <c r="G215" s="1269">
        <f t="shared" si="9"/>
        <v>0</v>
      </c>
    </row>
    <row r="216" spans="2:7" ht="13.8" thickTop="1">
      <c r="B216" s="1270">
        <f>IF(AND($C$219=0,$C$220=0,$C$221=0,$C$222=0,$C$223=0,$C$224=0),"",B34)</f>
        <v>0</v>
      </c>
      <c r="C216" s="1264">
        <f t="shared" si="9"/>
        <v>0</v>
      </c>
      <c r="D216" s="1265">
        <f t="shared" si="9"/>
        <v>0</v>
      </c>
      <c r="E216" s="1265">
        <f t="shared" si="9"/>
        <v>0</v>
      </c>
      <c r="F216" s="1217">
        <f t="shared" si="9"/>
        <v>0</v>
      </c>
      <c r="G216" s="1269">
        <f t="shared" si="9"/>
        <v>0</v>
      </c>
    </row>
    <row r="217" spans="2:7">
      <c r="B217" s="1217" t="str">
        <f>B35</f>
        <v>להלן תחזית פרעון המלוות (קרן והצמדה):</v>
      </c>
      <c r="C217" s="1264">
        <f t="shared" si="9"/>
        <v>0</v>
      </c>
      <c r="D217" s="1265">
        <f t="shared" si="9"/>
        <v>0</v>
      </c>
      <c r="E217" s="1265">
        <f t="shared" si="9"/>
        <v>0</v>
      </c>
      <c r="F217" s="1217">
        <f t="shared" si="9"/>
        <v>0</v>
      </c>
      <c r="G217" s="1217">
        <f t="shared" si="9"/>
        <v>0</v>
      </c>
    </row>
    <row r="218" spans="2:7">
      <c r="B218" s="1217">
        <f>B36</f>
        <v>0</v>
      </c>
      <c r="C218" s="1264">
        <f t="shared" si="9"/>
        <v>0</v>
      </c>
      <c r="D218" s="1265">
        <f t="shared" si="9"/>
        <v>0</v>
      </c>
      <c r="E218" s="1265">
        <f t="shared" si="9"/>
        <v>0</v>
      </c>
      <c r="F218" s="1217">
        <f t="shared" si="9"/>
        <v>0</v>
      </c>
      <c r="G218" s="1217">
        <f t="shared" si="9"/>
        <v>0</v>
      </c>
    </row>
    <row r="219" spans="2:7">
      <c r="B219" s="1266" t="str">
        <f t="shared" ref="B219:B224" si="10">IF(AND($C37=0),"",$B37)</f>
        <v>שנה ראשונה</v>
      </c>
      <c r="C219" s="1267">
        <f t="shared" si="9"/>
        <v>22840</v>
      </c>
      <c r="D219" s="1265">
        <f t="shared" si="9"/>
        <v>0</v>
      </c>
      <c r="E219" s="1265">
        <f t="shared" si="9"/>
        <v>0</v>
      </c>
      <c r="F219" s="1217">
        <f t="shared" si="9"/>
        <v>0</v>
      </c>
      <c r="G219" s="1217">
        <f t="shared" si="9"/>
        <v>0</v>
      </c>
    </row>
    <row r="220" spans="2:7">
      <c r="B220" s="1266" t="str">
        <f t="shared" si="10"/>
        <v>שנה שניה</v>
      </c>
      <c r="C220" s="1267">
        <f t="shared" si="9"/>
        <v>22442</v>
      </c>
      <c r="D220" s="1265">
        <f t="shared" si="9"/>
        <v>0</v>
      </c>
      <c r="E220" s="1265">
        <f t="shared" si="9"/>
        <v>0</v>
      </c>
      <c r="F220" s="1217">
        <f t="shared" si="9"/>
        <v>0</v>
      </c>
      <c r="G220" s="1217">
        <f t="shared" si="9"/>
        <v>0</v>
      </c>
    </row>
    <row r="221" spans="2:7">
      <c r="B221" s="1266" t="str">
        <f t="shared" si="10"/>
        <v>שנה שלישית</v>
      </c>
      <c r="C221" s="1267">
        <f t="shared" ref="C221:G225" si="11">C39</f>
        <v>21415</v>
      </c>
      <c r="D221" s="1265">
        <f t="shared" si="11"/>
        <v>0</v>
      </c>
      <c r="E221" s="1265">
        <f t="shared" si="11"/>
        <v>0</v>
      </c>
      <c r="F221" s="1217">
        <f t="shared" si="11"/>
        <v>0</v>
      </c>
      <c r="G221" s="1217">
        <f t="shared" si="11"/>
        <v>0</v>
      </c>
    </row>
    <row r="222" spans="2:7">
      <c r="B222" s="1266" t="str">
        <f t="shared" si="10"/>
        <v>שנה רביעית</v>
      </c>
      <c r="C222" s="1267">
        <f t="shared" si="11"/>
        <v>19358</v>
      </c>
      <c r="D222" s="1265">
        <f t="shared" si="11"/>
        <v>0</v>
      </c>
      <c r="E222" s="1265">
        <f t="shared" si="11"/>
        <v>0</v>
      </c>
      <c r="F222" s="1217">
        <f t="shared" si="11"/>
        <v>0</v>
      </c>
      <c r="G222" s="1217">
        <f t="shared" si="11"/>
        <v>0</v>
      </c>
    </row>
    <row r="223" spans="2:7">
      <c r="B223" s="1266" t="str">
        <f t="shared" si="10"/>
        <v>שנה חמישית</v>
      </c>
      <c r="C223" s="1267">
        <f t="shared" si="11"/>
        <v>14934</v>
      </c>
      <c r="D223" s="1265">
        <f t="shared" si="11"/>
        <v>0</v>
      </c>
      <c r="E223" s="1265">
        <f t="shared" si="11"/>
        <v>0</v>
      </c>
      <c r="F223" s="1217">
        <f t="shared" si="11"/>
        <v>0</v>
      </c>
      <c r="G223" s="1217">
        <f t="shared" si="11"/>
        <v>0</v>
      </c>
    </row>
    <row r="224" spans="2:7">
      <c r="B224" s="1266" t="str">
        <f t="shared" si="10"/>
        <v>שנה שישית ואילך</v>
      </c>
      <c r="C224" s="1267">
        <f t="shared" si="11"/>
        <v>27439</v>
      </c>
      <c r="D224" s="1265">
        <f t="shared" si="11"/>
        <v>0</v>
      </c>
      <c r="E224" s="1265">
        <f t="shared" si="11"/>
        <v>0</v>
      </c>
      <c r="F224" s="1217">
        <f t="shared" si="11"/>
        <v>0</v>
      </c>
      <c r="G224" s="1217">
        <f t="shared" si="11"/>
        <v>0</v>
      </c>
    </row>
    <row r="225" spans="2:7" ht="13.8" thickBot="1">
      <c r="B225" s="1217">
        <f>B43</f>
        <v>0</v>
      </c>
      <c r="C225" s="1272">
        <f t="shared" si="11"/>
        <v>128428</v>
      </c>
      <c r="D225" s="1265">
        <f t="shared" si="11"/>
        <v>0</v>
      </c>
      <c r="E225" s="1265">
        <f t="shared" si="11"/>
        <v>0</v>
      </c>
      <c r="F225" s="1217">
        <f t="shared" si="11"/>
        <v>0</v>
      </c>
      <c r="G225" s="1217">
        <f t="shared" si="11"/>
        <v>0</v>
      </c>
    </row>
    <row r="226" spans="2:7" ht="13.8" thickTop="1">
      <c r="B226" s="1218">
        <f>IF(B44&lt;&gt;"(***)",B44,0)</f>
        <v>0</v>
      </c>
    </row>
  </sheetData>
  <sheetProtection password="83C1" sheet="1" objects="1" scenarios="1"/>
  <mergeCells count="7">
    <mergeCell ref="B184:L184"/>
    <mergeCell ref="I6:M6"/>
    <mergeCell ref="B182:L182"/>
    <mergeCell ref="C1:H1"/>
    <mergeCell ref="C2:H2"/>
    <mergeCell ref="C3:H3"/>
    <mergeCell ref="B183:L183"/>
  </mergeCells>
  <phoneticPr fontId="4" type="noConversion"/>
  <conditionalFormatting sqref="C215 E215">
    <cfRule type="expression" dxfId="11" priority="1" stopIfTrue="1">
      <formula>AND($C214=0,$E214=0,$C213=0,$E213=0,$C212=0,$E212=0)</formula>
    </cfRule>
  </conditionalFormatting>
  <conditionalFormatting sqref="C225">
    <cfRule type="expression" dxfId="10" priority="2" stopIfTrue="1">
      <formula>AND($C$219=0,$C$220=0,$C$221=0,$C$222=0,$C$223=0,$C$224=0)</formula>
    </cfRule>
  </conditionalFormatting>
  <dataValidations count="1">
    <dataValidation type="list" allowBlank="1" sqref="B26">
      <formula1>"בהתאם להנחיות משרד הפנים בוצע פרעון מלוות באמצעות התקציב הבלתי רגיל בסכום של  &lt;&gt; קרן &lt;&gt; ריבית &lt;&gt; הצמדה, (***)"</formula1>
    </dataValidation>
  </dataValidations>
  <hyperlinks>
    <hyperlink ref="A4" location="'תוכן הענינים'!A1" tooltip="לחץ להצגת גליון תוכן הענינים" display="הצג תוכן ענינים"/>
  </hyperlinks>
  <printOptions horizontalCentered="1"/>
  <pageMargins left="0.24" right="0.19" top="0.74803149606299213" bottom="0.39370078740157483" header="0.23622047244094491" footer="3.937007874015748E-2"/>
  <pageSetup paperSize="9" scale="83" orientation="portrait" blackAndWhite="1" horizontalDpi="300" verticalDpi="300" r:id="rId1"/>
  <headerFooter alignWithMargins="0">
    <oddHeader>&amp;L&amp;8&amp;A</oddHeader>
    <oddFooter>&amp;C&amp;8&amp;P</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4">
    <pageSetUpPr autoPageBreaks="0"/>
  </sheetPr>
  <dimension ref="A1:S228"/>
  <sheetViews>
    <sheetView showGridLines="0" showRowColHeaders="0" showZeros="0" rightToLeft="1" showOutlineSymbols="0" topLeftCell="A4" zoomScale="85" zoomScaleNormal="100" zoomScaleSheetLayoutView="75" workbookViewId="0">
      <selection activeCell="A4" sqref="A4"/>
    </sheetView>
  </sheetViews>
  <sheetFormatPr defaultColWidth="9.109375" defaultRowHeight="13.2"/>
  <cols>
    <col min="1" max="1" width="2.5546875" style="1277" customWidth="1"/>
    <col min="2" max="2" width="3.88671875" style="1277" customWidth="1"/>
    <col min="3" max="3" width="27.5546875" style="1277" customWidth="1"/>
    <col min="4" max="4" width="12.33203125" style="1277" customWidth="1"/>
    <col min="5" max="5" width="2.6640625" style="1277" customWidth="1"/>
    <col min="6" max="6" width="12.33203125" style="1277" customWidth="1"/>
    <col min="7" max="7" width="2.6640625" style="1277" customWidth="1"/>
    <col min="8" max="8" width="12.33203125" style="1358" customWidth="1"/>
    <col min="9" max="9" width="2.6640625" style="1277" customWidth="1"/>
    <col min="10" max="10" width="12.33203125" style="1277" customWidth="1"/>
    <col min="11" max="11" width="2.6640625" style="1277" customWidth="1"/>
    <col min="12" max="12" width="12.33203125" style="1277" customWidth="1"/>
    <col min="13" max="13" width="2.6640625" style="1277" customWidth="1"/>
    <col min="14" max="14" width="12.33203125" style="1277" customWidth="1"/>
    <col min="15" max="15" width="2.6640625" style="1277" customWidth="1"/>
    <col min="16" max="16" width="12.33203125" style="1277" customWidth="1"/>
    <col min="17" max="17" width="5.5546875" style="1277" customWidth="1"/>
    <col min="18" max="16384" width="9.109375" style="1277"/>
  </cols>
  <sheetData>
    <row r="1" spans="1:19" ht="15" customHeight="1">
      <c r="A1" s="1273"/>
      <c r="B1" s="1274"/>
      <c r="C1" s="1274"/>
      <c r="D1" s="1274"/>
      <c r="E1" s="1274"/>
      <c r="F1" s="3560" t="str">
        <f>'הגדרות כלליות'!D6</f>
        <v>עירית הרצליה</v>
      </c>
      <c r="G1" s="3396"/>
      <c r="H1" s="3396"/>
      <c r="I1" s="3396"/>
      <c r="J1" s="3396"/>
      <c r="K1" s="3396"/>
      <c r="L1" s="3396"/>
      <c r="M1" s="3396"/>
      <c r="N1" s="3396"/>
      <c r="O1" s="3396"/>
      <c r="P1" s="3396"/>
      <c r="Q1" s="3396"/>
      <c r="R1" s="1275"/>
      <c r="S1" s="1276"/>
    </row>
    <row r="2" spans="1:19" ht="17.399999999999999">
      <c r="A2" s="1273"/>
      <c r="B2" s="1274"/>
      <c r="C2" s="1274"/>
      <c r="D2" s="1274"/>
      <c r="E2" s="1274"/>
      <c r="F2" s="3560" t="s">
        <v>889</v>
      </c>
      <c r="G2" s="3396"/>
      <c r="H2" s="3396"/>
      <c r="I2" s="3396"/>
      <c r="J2" s="3396"/>
      <c r="K2" s="3396"/>
      <c r="L2" s="3396"/>
      <c r="M2" s="3396"/>
      <c r="N2" s="3396"/>
      <c r="O2" s="3396"/>
      <c r="P2" s="3396"/>
      <c r="Q2" s="3396"/>
      <c r="R2" s="1275"/>
      <c r="S2" s="1276"/>
    </row>
    <row r="3" spans="1:19" ht="20.25" customHeight="1">
      <c r="A3" s="1273"/>
      <c r="B3" s="1274"/>
      <c r="C3" s="1274"/>
      <c r="D3" s="1274"/>
      <c r="E3" s="1274"/>
      <c r="F3" s="3561" t="str">
        <f>CONCATENATE("לשנת הכספים ",'הגדרות כלליות'!D10, " (אלפי ש''ח) ")</f>
        <v xml:space="preserve">לשנת הכספים 2015 (אלפי ש''ח) </v>
      </c>
      <c r="G3" s="3561"/>
      <c r="H3" s="3561"/>
      <c r="I3" s="3561"/>
      <c r="J3" s="3561"/>
      <c r="K3" s="3561"/>
      <c r="L3" s="3561"/>
      <c r="M3" s="3561"/>
      <c r="N3" s="3561"/>
      <c r="O3" s="3561"/>
      <c r="P3" s="3561"/>
      <c r="Q3" s="3562"/>
      <c r="R3" s="1275"/>
      <c r="S3" s="1276"/>
    </row>
    <row r="4" spans="1:19" ht="28.5" customHeight="1">
      <c r="A4" s="7" t="s">
        <v>339</v>
      </c>
      <c r="B4" s="1278"/>
      <c r="C4" s="1279"/>
      <c r="D4" s="1279"/>
      <c r="E4" s="1279"/>
      <c r="F4" s="1279"/>
      <c r="G4" s="1279"/>
      <c r="H4" s="1279"/>
      <c r="I4" s="977"/>
      <c r="J4" s="1279"/>
      <c r="K4" s="977"/>
      <c r="L4" s="977"/>
      <c r="M4" s="977"/>
      <c r="N4" s="977"/>
      <c r="O4" s="977"/>
      <c r="P4" s="977"/>
      <c r="Q4" s="1280"/>
      <c r="R4" s="1281"/>
    </row>
    <row r="5" spans="1:19">
      <c r="A5" s="1280"/>
      <c r="B5" s="1282"/>
      <c r="C5" s="3566" t="s">
        <v>890</v>
      </c>
      <c r="D5" s="3566" t="s">
        <v>891</v>
      </c>
      <c r="E5" s="1283"/>
      <c r="F5" s="3566" t="s">
        <v>892</v>
      </c>
      <c r="G5" s="1283"/>
      <c r="H5" s="3568" t="s">
        <v>893</v>
      </c>
      <c r="I5" s="1283"/>
      <c r="J5" s="3566" t="s">
        <v>894</v>
      </c>
      <c r="K5" s="1283"/>
      <c r="L5" s="3565" t="s">
        <v>895</v>
      </c>
      <c r="M5" s="3565"/>
      <c r="N5" s="3565"/>
      <c r="O5" s="1283"/>
      <c r="P5" s="1284" t="s">
        <v>894</v>
      </c>
      <c r="Q5" s="1280"/>
      <c r="R5" s="1281"/>
    </row>
    <row r="6" spans="1:19">
      <c r="A6" s="1280"/>
      <c r="B6" s="1285"/>
      <c r="C6" s="3573"/>
      <c r="D6" s="3567"/>
      <c r="E6" s="1286"/>
      <c r="F6" s="3567"/>
      <c r="G6" s="1286"/>
      <c r="H6" s="3569"/>
      <c r="I6" s="1286"/>
      <c r="J6" s="3567"/>
      <c r="K6" s="1286"/>
      <c r="L6" s="1286" t="s">
        <v>896</v>
      </c>
      <c r="M6" s="1286"/>
      <c r="N6" s="1286" t="s">
        <v>897</v>
      </c>
      <c r="O6" s="1286"/>
      <c r="P6" s="1287">
        <f>'הגדרות כלליות'!D12</f>
        <v>2014</v>
      </c>
      <c r="Q6" s="1280"/>
      <c r="R6" s="1281"/>
    </row>
    <row r="7" spans="1:19">
      <c r="A7" s="1280"/>
      <c r="B7" s="1288"/>
      <c r="C7" s="252"/>
      <c r="D7" s="1289"/>
      <c r="E7" s="1289"/>
      <c r="F7" s="1289"/>
      <c r="G7" s="1289"/>
      <c r="H7" s="1290"/>
      <c r="I7" s="1289"/>
      <c r="J7" s="1289"/>
      <c r="K7" s="1289"/>
      <c r="L7" s="1289"/>
      <c r="M7" s="1289"/>
      <c r="N7" s="1289"/>
      <c r="O7" s="1289"/>
      <c r="P7" s="1291"/>
      <c r="Q7" s="1280"/>
      <c r="R7" s="1281"/>
    </row>
    <row r="8" spans="1:19">
      <c r="A8" s="1280"/>
      <c r="B8" s="1288"/>
      <c r="C8" s="1292" t="s">
        <v>524</v>
      </c>
      <c r="D8" s="1293">
        <v>826550</v>
      </c>
      <c r="E8" s="1294"/>
      <c r="F8" s="1293">
        <v>9675</v>
      </c>
      <c r="G8" s="1295"/>
      <c r="H8" s="1296">
        <f>D8+F8</f>
        <v>836225</v>
      </c>
      <c r="I8" s="1295"/>
      <c r="J8" s="1297">
        <f>'טופס 2'!$G$59</f>
        <v>853785</v>
      </c>
      <c r="K8" s="1295"/>
      <c r="L8" s="1297">
        <f>(IF(J8&gt;H8,0,(J8-H8)))</f>
        <v>0</v>
      </c>
      <c r="M8" s="1295"/>
      <c r="N8" s="1297">
        <f>(IF(J8&gt;H8,(J8-H8),0))</f>
        <v>17560</v>
      </c>
      <c r="O8" s="1295"/>
      <c r="P8" s="1298">
        <f>'טופס 2'!I59</f>
        <v>795695</v>
      </c>
      <c r="Q8" s="1280"/>
      <c r="R8" s="1281"/>
    </row>
    <row r="9" spans="1:19">
      <c r="A9" s="1280"/>
      <c r="B9" s="1288"/>
      <c r="C9" s="1292" t="s">
        <v>529</v>
      </c>
      <c r="D9" s="1299">
        <v>826550</v>
      </c>
      <c r="E9" s="1300"/>
      <c r="F9" s="1293">
        <v>9675</v>
      </c>
      <c r="G9" s="1295"/>
      <c r="H9" s="1301">
        <f>D9+F9</f>
        <v>836225</v>
      </c>
      <c r="I9" s="1295"/>
      <c r="J9" s="1302">
        <f>'טופס 2'!$G$60</f>
        <v>836268</v>
      </c>
      <c r="K9" s="1295"/>
      <c r="L9" s="1302">
        <f>(IF(J9&gt;H9,0,(H9-J9)))</f>
        <v>0</v>
      </c>
      <c r="M9" s="1295"/>
      <c r="N9" s="1302">
        <f>(IF(J9&gt;H9,(H9-J9),0))</f>
        <v>-43</v>
      </c>
      <c r="O9" s="1295"/>
      <c r="P9" s="1303">
        <f>'טופס 2'!I60</f>
        <v>785053</v>
      </c>
      <c r="Q9" s="1280"/>
      <c r="R9" s="1281"/>
    </row>
    <row r="10" spans="1:19" ht="13.8" thickBot="1">
      <c r="A10" s="1280"/>
      <c r="B10" s="1288"/>
      <c r="C10" s="1292" t="str">
        <f>'טופס 2'!$B$61</f>
        <v>עודף בשנת הדוח</v>
      </c>
      <c r="D10" s="1304">
        <f>D8-D9</f>
        <v>0</v>
      </c>
      <c r="E10" s="1300"/>
      <c r="F10" s="1304">
        <f>F8-F9</f>
        <v>0</v>
      </c>
      <c r="G10" s="1295"/>
      <c r="H10" s="1305">
        <f>H8-H9</f>
        <v>0</v>
      </c>
      <c r="I10" s="1295"/>
      <c r="J10" s="1304">
        <f>'טופס 2'!$G$61</f>
        <v>17517</v>
      </c>
      <c r="K10" s="1295"/>
      <c r="L10" s="1304">
        <f>L8+L9</f>
        <v>0</v>
      </c>
      <c r="M10" s="1295"/>
      <c r="N10" s="1304">
        <f>N8+N9</f>
        <v>17517</v>
      </c>
      <c r="O10" s="1295"/>
      <c r="P10" s="1306">
        <f>'טופס 2'!I61</f>
        <v>10642</v>
      </c>
      <c r="Q10" s="1280"/>
      <c r="R10" s="1281"/>
    </row>
    <row r="11" spans="1:19" ht="13.8" thickTop="1">
      <c r="A11" s="1280"/>
      <c r="B11" s="1307"/>
      <c r="C11" s="1308"/>
      <c r="D11" s="1309"/>
      <c r="E11" s="1309"/>
      <c r="F11" s="1309"/>
      <c r="G11" s="1309"/>
      <c r="H11" s="1310"/>
      <c r="I11" s="1309"/>
      <c r="J11" s="1309"/>
      <c r="K11" s="1309"/>
      <c r="L11" s="1309"/>
      <c r="M11" s="1309"/>
      <c r="N11" s="1309"/>
      <c r="O11" s="1309"/>
      <c r="P11" s="1311"/>
      <c r="Q11" s="1280"/>
      <c r="R11" s="1281"/>
    </row>
    <row r="12" spans="1:19" ht="33" customHeight="1">
      <c r="A12" s="1280"/>
      <c r="B12" s="1280"/>
      <c r="C12" s="1280"/>
      <c r="D12" s="1280"/>
      <c r="E12" s="1280"/>
      <c r="F12" s="1280"/>
      <c r="G12" s="1280"/>
      <c r="H12" s="1312"/>
      <c r="I12" s="1280"/>
      <c r="J12" s="1280"/>
      <c r="K12" s="1280"/>
      <c r="L12" s="1280"/>
      <c r="M12" s="1280"/>
      <c r="N12" s="1280"/>
      <c r="O12" s="1280"/>
      <c r="P12" s="1280"/>
      <c r="Q12" s="1280"/>
      <c r="R12" s="1281"/>
    </row>
    <row r="13" spans="1:19">
      <c r="A13" s="1280"/>
      <c r="B13" s="1282"/>
      <c r="C13" s="3566" t="s">
        <v>898</v>
      </c>
      <c r="D13" s="3566" t="s">
        <v>893</v>
      </c>
      <c r="E13" s="1283"/>
      <c r="F13" s="3570" t="s">
        <v>894</v>
      </c>
      <c r="G13" s="1283"/>
      <c r="H13" s="3566" t="s">
        <v>899</v>
      </c>
      <c r="I13" s="1283"/>
      <c r="J13" s="3565" t="s">
        <v>895</v>
      </c>
      <c r="K13" s="3565"/>
      <c r="L13" s="3565"/>
      <c r="M13" s="1313"/>
      <c r="N13" s="1283" t="s">
        <v>894</v>
      </c>
      <c r="O13" s="1283" t="s">
        <v>506</v>
      </c>
      <c r="P13" s="3563" t="s">
        <v>899</v>
      </c>
      <c r="Q13" s="1280"/>
      <c r="R13" s="1281"/>
    </row>
    <row r="14" spans="1:19">
      <c r="A14" s="1280"/>
      <c r="B14" s="1285"/>
      <c r="C14" s="3567"/>
      <c r="D14" s="3567"/>
      <c r="E14" s="1286"/>
      <c r="F14" s="3567"/>
      <c r="G14" s="1286"/>
      <c r="H14" s="3567"/>
      <c r="I14" s="1286"/>
      <c r="J14" s="1286" t="s">
        <v>896</v>
      </c>
      <c r="K14" s="1286"/>
      <c r="L14" s="1286" t="s">
        <v>897</v>
      </c>
      <c r="M14" s="1286"/>
      <c r="N14" s="1286">
        <f>'הגדרות כלליות'!D12</f>
        <v>2014</v>
      </c>
      <c r="O14" s="1286"/>
      <c r="P14" s="3564"/>
      <c r="Q14" s="1280"/>
      <c r="R14" s="1281"/>
      <c r="S14" s="1314" t="s">
        <v>360</v>
      </c>
    </row>
    <row r="15" spans="1:19">
      <c r="A15" s="1280"/>
      <c r="B15" s="1288"/>
      <c r="C15" s="252"/>
      <c r="D15" s="1292"/>
      <c r="E15" s="1292"/>
      <c r="F15" s="1315"/>
      <c r="G15" s="1292"/>
      <c r="H15" s="1292"/>
      <c r="I15" s="1292"/>
      <c r="J15" s="1292"/>
      <c r="K15" s="1292"/>
      <c r="L15" s="1292"/>
      <c r="M15" s="1292"/>
      <c r="N15" s="1292"/>
      <c r="O15" s="1292"/>
      <c r="P15" s="1316"/>
      <c r="Q15" s="1280"/>
      <c r="R15" s="1281"/>
    </row>
    <row r="16" spans="1:19">
      <c r="A16" s="1280"/>
      <c r="B16" s="2631">
        <v>1</v>
      </c>
      <c r="C16" s="1317" t="s">
        <v>900</v>
      </c>
      <c r="D16" s="1318"/>
      <c r="E16" s="1318"/>
      <c r="F16" s="1315"/>
      <c r="G16" s="1318"/>
      <c r="H16" s="1318"/>
      <c r="I16" s="1292"/>
      <c r="J16" s="1318"/>
      <c r="K16" s="1318"/>
      <c r="L16" s="1318"/>
      <c r="M16" s="1292"/>
      <c r="N16" s="1318"/>
      <c r="O16" s="1292"/>
      <c r="P16" s="1319"/>
      <c r="Q16" s="1280"/>
      <c r="R16" s="1281"/>
    </row>
    <row r="17" spans="1:18">
      <c r="A17" s="1280"/>
      <c r="B17" s="2632">
        <v>1.1000000000000001</v>
      </c>
      <c r="C17" s="1292" t="s">
        <v>901</v>
      </c>
      <c r="D17" s="1320">
        <v>581822</v>
      </c>
      <c r="E17" s="1321"/>
      <c r="F17" s="1320">
        <v>616836</v>
      </c>
      <c r="G17" s="1321"/>
      <c r="H17" s="1324">
        <f>IF($F$30&lt;&gt;0,ROUND(F17/$F$30,4),0)</f>
        <v>0.72250000000000003</v>
      </c>
      <c r="I17" s="1321"/>
      <c r="J17" s="1322">
        <f>IF(D17&gt;F17,D17-F17,0)</f>
        <v>0</v>
      </c>
      <c r="K17" s="1321"/>
      <c r="L17" s="1322">
        <f>IF(D17&gt;F17,0,F17-D17)</f>
        <v>35014</v>
      </c>
      <c r="M17" s="1321"/>
      <c r="N17" s="1320">
        <v>562711</v>
      </c>
      <c r="O17" s="1002"/>
      <c r="P17" s="1326">
        <f>IF($N$30&lt;&gt;0,ROUND(N17/$N$30,4),0)</f>
        <v>0.70720000000000005</v>
      </c>
      <c r="Q17" s="1280"/>
      <c r="R17" s="1281"/>
    </row>
    <row r="18" spans="1:18">
      <c r="A18" s="1280"/>
      <c r="B18" s="2632">
        <v>1.2</v>
      </c>
      <c r="C18" s="1292" t="s">
        <v>902</v>
      </c>
      <c r="D18" s="1323">
        <v>19044</v>
      </c>
      <c r="E18" s="1321"/>
      <c r="F18" s="1323">
        <v>15407</v>
      </c>
      <c r="G18" s="1321"/>
      <c r="H18" s="1324">
        <f>IF($F$30&lt;&gt;0,ROUND(F18/$F$30,4),0)</f>
        <v>1.7999999999999999E-2</v>
      </c>
      <c r="I18" s="1321"/>
      <c r="J18" s="1325">
        <f>IF(D18&gt;F18,D18-F18,0)</f>
        <v>3637</v>
      </c>
      <c r="K18" s="1321"/>
      <c r="L18" s="1325">
        <f>IF(D18&gt;F18,0,F18-D18)</f>
        <v>0</v>
      </c>
      <c r="M18" s="1321"/>
      <c r="N18" s="1323">
        <v>12845</v>
      </c>
      <c r="O18" s="1002"/>
      <c r="P18" s="1326">
        <f>IF($N$30&lt;&gt;0,ROUND(N18/$N$30,4),0)</f>
        <v>1.61E-2</v>
      </c>
      <c r="Q18" s="1280"/>
      <c r="R18" s="1281"/>
    </row>
    <row r="19" spans="1:18">
      <c r="A19" s="1280"/>
      <c r="B19" s="2632">
        <v>1.3</v>
      </c>
      <c r="C19" s="1292" t="s">
        <v>1137</v>
      </c>
      <c r="D19" s="1328">
        <v>41445</v>
      </c>
      <c r="E19" s="1321"/>
      <c r="F19" s="1330">
        <f>+'ביאור 5'!K26</f>
        <v>30392</v>
      </c>
      <c r="G19" s="1321"/>
      <c r="H19" s="1329">
        <f>IF($F$30&lt;&gt;0,ROUND(F19/$F$30,4),0)</f>
        <v>3.56E-2</v>
      </c>
      <c r="I19" s="1321"/>
      <c r="J19" s="1330">
        <f>IF(D19&gt;F19,D19-F19,0)</f>
        <v>11053</v>
      </c>
      <c r="K19" s="1321"/>
      <c r="L19" s="1330">
        <f>IF(D19&gt;F19,0,F19-D19)</f>
        <v>0</v>
      </c>
      <c r="M19" s="1321"/>
      <c r="N19" s="1330">
        <f>'ביאור 5'!K14</f>
        <v>38163</v>
      </c>
      <c r="O19" s="1002"/>
      <c r="P19" s="1331">
        <f>IF($N$30&lt;&gt;0,ROUND(N19/$N$30,4),0)</f>
        <v>4.8000000000000001E-2</v>
      </c>
      <c r="Q19" s="1280"/>
      <c r="R19" s="1281"/>
    </row>
    <row r="20" spans="1:18">
      <c r="A20" s="1280"/>
      <c r="B20" s="1288"/>
      <c r="C20" s="1332"/>
      <c r="D20" s="1333">
        <f>SUM(D17:D19)</f>
        <v>642311</v>
      </c>
      <c r="E20" s="1321"/>
      <c r="F20" s="1333">
        <f>SUM(F17:F19)</f>
        <v>662635</v>
      </c>
      <c r="G20" s="1321"/>
      <c r="H20" s="1334">
        <f>IF($F$30&lt;&gt;0,ROUND(F20/$F$30,4),0)</f>
        <v>0.77610000000000001</v>
      </c>
      <c r="I20" s="1321"/>
      <c r="J20" s="1333">
        <f>SUM(J17:J19)</f>
        <v>14690</v>
      </c>
      <c r="K20" s="1321"/>
      <c r="L20" s="1333">
        <f>SUM(L17:L19)</f>
        <v>35014</v>
      </c>
      <c r="M20" s="1321"/>
      <c r="N20" s="1333">
        <f>SUM(N17:N19)</f>
        <v>613719</v>
      </c>
      <c r="O20" s="1002"/>
      <c r="P20" s="1335">
        <f>IF($N$30&lt;&gt;0,ROUND(N20/$N$30,4),0)</f>
        <v>0.77129999999999999</v>
      </c>
      <c r="Q20" s="1280"/>
      <c r="R20" s="1281"/>
    </row>
    <row r="21" spans="1:18">
      <c r="A21" s="1280"/>
      <c r="B21" s="2631">
        <v>2</v>
      </c>
      <c r="C21" s="1317" t="s">
        <v>903</v>
      </c>
      <c r="D21" s="1336"/>
      <c r="E21" s="1321"/>
      <c r="F21" s="1321"/>
      <c r="G21" s="1321"/>
      <c r="H21" s="1337"/>
      <c r="I21" s="1321"/>
      <c r="J21" s="1336"/>
      <c r="K21" s="1321"/>
      <c r="L21" s="1336"/>
      <c r="M21" s="1321"/>
      <c r="N21" s="1336"/>
      <c r="O21" s="1292"/>
      <c r="P21" s="1338"/>
      <c r="Q21" s="1280"/>
      <c r="R21" s="1281"/>
    </row>
    <row r="22" spans="1:18">
      <c r="A22" s="1280"/>
      <c r="B22" s="2632">
        <v>2.1</v>
      </c>
      <c r="C22" s="1292" t="s">
        <v>904</v>
      </c>
      <c r="D22" s="1322">
        <f>'נתונים לנספח 1 לטופס 2'!C27</f>
        <v>192428</v>
      </c>
      <c r="E22" s="1321"/>
      <c r="F22" s="1322">
        <f>'נתונים לנספח 1 לטופס 2'!D27</f>
        <v>189826</v>
      </c>
      <c r="G22" s="1321"/>
      <c r="H22" s="1324">
        <f>IF($F$30&lt;&gt;0,ROUND(F22/$F$30,4),0)</f>
        <v>0.2223</v>
      </c>
      <c r="I22" s="1321"/>
      <c r="J22" s="1322">
        <f t="shared" ref="J22:J27" si="0">IF(D22&gt;F22,D22-F22,0)</f>
        <v>2602</v>
      </c>
      <c r="K22" s="1321"/>
      <c r="L22" s="1322">
        <f t="shared" ref="L22:L27" si="1">IF(D22&gt;F22,0,F22-D22)</f>
        <v>0</v>
      </c>
      <c r="M22" s="1321"/>
      <c r="N22" s="1322">
        <f>'נתונים לנספח 1 לטופס 2'!E27</f>
        <v>181649</v>
      </c>
      <c r="O22" s="1002"/>
      <c r="P22" s="1326">
        <f t="shared" ref="P22:P28" si="2">IF($N$30&lt;&gt;0,ROUND(N22/$N$30,4),0)</f>
        <v>0.2283</v>
      </c>
      <c r="Q22" s="1280"/>
      <c r="R22" s="1281"/>
    </row>
    <row r="23" spans="1:18">
      <c r="A23" s="1280"/>
      <c r="B23" s="2632">
        <v>2.2000000000000002</v>
      </c>
      <c r="C23" s="1292" t="s">
        <v>905</v>
      </c>
      <c r="D23" s="1323"/>
      <c r="E23" s="1321"/>
      <c r="F23" s="1323"/>
      <c r="G23" s="1321"/>
      <c r="H23" s="1324">
        <f>IF($F$30&lt;&gt;0,ROUND(F23/$F$30,4),0)</f>
        <v>0</v>
      </c>
      <c r="I23" s="1321"/>
      <c r="J23" s="1325">
        <f t="shared" si="0"/>
        <v>0</v>
      </c>
      <c r="K23" s="1321"/>
      <c r="L23" s="1325">
        <f t="shared" si="1"/>
        <v>0</v>
      </c>
      <c r="M23" s="1321"/>
      <c r="N23" s="1323"/>
      <c r="O23" s="1002"/>
      <c r="P23" s="1326">
        <f t="shared" si="2"/>
        <v>0</v>
      </c>
      <c r="Q23" s="1280"/>
      <c r="R23" s="1281"/>
    </row>
    <row r="24" spans="1:18">
      <c r="A24" s="1280"/>
      <c r="B24" s="2632">
        <v>2.2999999999999998</v>
      </c>
      <c r="C24" s="1292" t="s">
        <v>7</v>
      </c>
      <c r="D24" s="1325">
        <f>'ביאור 4'!C10+'ביאור 4'!C13</f>
        <v>0</v>
      </c>
      <c r="E24" s="1321"/>
      <c r="F24" s="1325">
        <f>'ביאור 4'!E10+'ביאור 4'!E13</f>
        <v>0</v>
      </c>
      <c r="G24" s="1321"/>
      <c r="H24" s="1324">
        <f>IF($F$30&lt;&gt;0,ROUND(F24/$F$30,2),0)</f>
        <v>0</v>
      </c>
      <c r="I24" s="1321"/>
      <c r="J24" s="1325">
        <f t="shared" si="0"/>
        <v>0</v>
      </c>
      <c r="K24" s="1321"/>
      <c r="L24" s="1325">
        <f t="shared" si="1"/>
        <v>0</v>
      </c>
      <c r="M24" s="1321"/>
      <c r="N24" s="1325">
        <f>'ביאור 4'!G10+'ביאור 4'!G13</f>
        <v>0</v>
      </c>
      <c r="O24" s="1002"/>
      <c r="P24" s="1326">
        <f t="shared" si="2"/>
        <v>0</v>
      </c>
      <c r="Q24" s="1280"/>
      <c r="R24" s="1281"/>
    </row>
    <row r="25" spans="1:18">
      <c r="A25" s="1280"/>
      <c r="B25" s="2632">
        <v>2.4</v>
      </c>
      <c r="C25" s="1292" t="s">
        <v>6</v>
      </c>
      <c r="D25" s="1325">
        <f>'ביאור 4'!C9</f>
        <v>0</v>
      </c>
      <c r="E25" s="1321"/>
      <c r="F25" s="1325">
        <f>'ביאור 3'!C135</f>
        <v>0</v>
      </c>
      <c r="G25" s="1321"/>
      <c r="H25" s="1324">
        <f>IF($F$30&lt;&gt;0,ROUND(F25/$F$30,4),0)</f>
        <v>0</v>
      </c>
      <c r="I25" s="1321"/>
      <c r="J25" s="1325">
        <f t="shared" si="0"/>
        <v>0</v>
      </c>
      <c r="K25" s="1321"/>
      <c r="L25" s="1325">
        <f t="shared" si="1"/>
        <v>0</v>
      </c>
      <c r="M25" s="1321"/>
      <c r="N25" s="1325">
        <f>'ביאור 3'!E135</f>
        <v>0</v>
      </c>
      <c r="O25" s="1002"/>
      <c r="P25" s="1326">
        <f t="shared" si="2"/>
        <v>0</v>
      </c>
      <c r="Q25" s="1280"/>
      <c r="R25" s="1281"/>
    </row>
    <row r="26" spans="1:18">
      <c r="A26" s="1280"/>
      <c r="B26" s="2632">
        <v>2.5</v>
      </c>
      <c r="C26" s="1292" t="s">
        <v>60</v>
      </c>
      <c r="D26" s="1323"/>
      <c r="E26" s="1321"/>
      <c r="F26" s="1323"/>
      <c r="G26" s="1321"/>
      <c r="H26" s="1329">
        <f>IF($F$30&lt;&gt;0,ROUND(F26/$F$30,4),0)</f>
        <v>0</v>
      </c>
      <c r="I26" s="1321"/>
      <c r="J26" s="1325">
        <f t="shared" si="0"/>
        <v>0</v>
      </c>
      <c r="K26" s="1321"/>
      <c r="L26" s="2633">
        <f t="shared" si="1"/>
        <v>0</v>
      </c>
      <c r="M26" s="1321"/>
      <c r="N26" s="1323"/>
      <c r="O26" s="1002"/>
      <c r="P26" s="1331">
        <f t="shared" si="2"/>
        <v>0</v>
      </c>
      <c r="Q26" s="1280"/>
      <c r="R26" s="1281"/>
    </row>
    <row r="27" spans="1:18">
      <c r="A27" s="1280"/>
      <c r="B27" s="2632">
        <v>2.6</v>
      </c>
      <c r="C27" s="1327" t="s">
        <v>47</v>
      </c>
      <c r="D27" s="1339">
        <v>1486</v>
      </c>
      <c r="E27" s="1321"/>
      <c r="F27" s="1339">
        <v>1324</v>
      </c>
      <c r="G27" s="1321"/>
      <c r="H27" s="1329">
        <f>IF($F$30&lt;&gt;0,ROUND(F27/$F$30,4),0)</f>
        <v>1.6000000000000001E-3</v>
      </c>
      <c r="I27" s="1321"/>
      <c r="J27" s="1325">
        <f t="shared" si="0"/>
        <v>162</v>
      </c>
      <c r="K27" s="1321"/>
      <c r="L27" s="1330">
        <f t="shared" si="1"/>
        <v>0</v>
      </c>
      <c r="M27" s="1321"/>
      <c r="N27" s="1328">
        <v>327</v>
      </c>
      <c r="O27" s="1002"/>
      <c r="P27" s="1331">
        <f t="shared" si="2"/>
        <v>4.0000000000000002E-4</v>
      </c>
      <c r="Q27" s="1280"/>
      <c r="R27" s="1281"/>
    </row>
    <row r="28" spans="1:18">
      <c r="A28" s="1280"/>
      <c r="B28" s="1288"/>
      <c r="C28" s="1332"/>
      <c r="D28" s="1333">
        <f>SUM(D22:D27)</f>
        <v>193914</v>
      </c>
      <c r="E28" s="1321"/>
      <c r="F28" s="1333">
        <f>SUM(F22:F27)</f>
        <v>191150</v>
      </c>
      <c r="G28" s="1321"/>
      <c r="H28" s="1334">
        <f>IF($F$30&lt;&gt;0,ROUND(F28/$F$30,4),0)</f>
        <v>0.22389999999999999</v>
      </c>
      <c r="I28" s="1321"/>
      <c r="J28" s="1333">
        <f>SUM(J22:J27)</f>
        <v>2764</v>
      </c>
      <c r="K28" s="1321"/>
      <c r="L28" s="1333">
        <f>SUM(L22:L27)</f>
        <v>0</v>
      </c>
      <c r="M28" s="1321"/>
      <c r="N28" s="1333">
        <f>SUM(N22:N27)</f>
        <v>181976</v>
      </c>
      <c r="O28" s="1002"/>
      <c r="P28" s="1335">
        <f t="shared" si="2"/>
        <v>0.22869999999999999</v>
      </c>
      <c r="Q28" s="1280"/>
      <c r="R28" s="1281"/>
    </row>
    <row r="29" spans="1:18">
      <c r="A29" s="1280"/>
      <c r="B29" s="1288"/>
      <c r="C29" s="1332"/>
      <c r="D29" s="1340"/>
      <c r="E29" s="1321"/>
      <c r="F29" s="1321"/>
      <c r="G29" s="1321"/>
      <c r="H29" s="1321"/>
      <c r="I29" s="1321"/>
      <c r="J29" s="1340"/>
      <c r="K29" s="1321"/>
      <c r="L29" s="1340"/>
      <c r="M29" s="1321"/>
      <c r="N29" s="1340"/>
      <c r="O29" s="1292"/>
      <c r="P29" s="1338"/>
      <c r="Q29" s="1280"/>
      <c r="R29" s="1281"/>
    </row>
    <row r="30" spans="1:18" ht="13.8" thickBot="1">
      <c r="A30" s="1280"/>
      <c r="B30" s="1288"/>
      <c r="C30" s="1292" t="s">
        <v>906</v>
      </c>
      <c r="D30" s="1341">
        <f>D28+D20</f>
        <v>836225</v>
      </c>
      <c r="E30" s="1321"/>
      <c r="F30" s="1341">
        <f>F28+F20</f>
        <v>853785</v>
      </c>
      <c r="G30" s="1321"/>
      <c r="H30" s="1342">
        <f>H20+H28</f>
        <v>1</v>
      </c>
      <c r="I30" s="1321"/>
      <c r="J30" s="1341">
        <f>J28+J20</f>
        <v>17454</v>
      </c>
      <c r="K30" s="1321"/>
      <c r="L30" s="1341">
        <f>L28+L20</f>
        <v>35014</v>
      </c>
      <c r="M30" s="1321"/>
      <c r="N30" s="1341">
        <f>N28+N20</f>
        <v>795695</v>
      </c>
      <c r="O30" s="1002"/>
      <c r="P30" s="1343">
        <f>P20+P28</f>
        <v>1</v>
      </c>
      <c r="Q30" s="1280"/>
      <c r="R30" s="1281"/>
    </row>
    <row r="31" spans="1:18" ht="15" customHeight="1" thickTop="1">
      <c r="A31" s="1280"/>
      <c r="B31" s="1288"/>
      <c r="C31" s="1327" t="s">
        <v>350</v>
      </c>
      <c r="D31" s="1318"/>
      <c r="E31" s="1318"/>
      <c r="F31" s="1315"/>
      <c r="G31" s="1318"/>
      <c r="H31" s="1318"/>
      <c r="I31" s="1292"/>
      <c r="J31" s="1318"/>
      <c r="K31" s="1318"/>
      <c r="L31" s="1318"/>
      <c r="M31" s="1292"/>
      <c r="N31" s="1318"/>
      <c r="O31" s="1292"/>
      <c r="P31" s="1319"/>
      <c r="Q31" s="1280"/>
      <c r="R31" s="1281"/>
    </row>
    <row r="32" spans="1:18" ht="6" customHeight="1">
      <c r="A32" s="1280"/>
      <c r="B32" s="1307"/>
      <c r="C32" s="1308"/>
      <c r="D32" s="1344"/>
      <c r="E32" s="1344"/>
      <c r="F32" s="1344"/>
      <c r="G32" s="1344"/>
      <c r="H32" s="1310"/>
      <c r="I32" s="1308"/>
      <c r="J32" s="1345"/>
      <c r="K32" s="1345"/>
      <c r="L32" s="1345"/>
      <c r="M32" s="1345"/>
      <c r="N32" s="1345"/>
      <c r="O32" s="1345"/>
      <c r="P32" s="1256"/>
      <c r="Q32" s="1346"/>
      <c r="R32" s="1281"/>
    </row>
    <row r="33" spans="1:18">
      <c r="A33" s="1280"/>
      <c r="B33" s="1347"/>
      <c r="C33" s="1347"/>
      <c r="D33" s="1348"/>
      <c r="E33" s="1348"/>
      <c r="F33" s="1348"/>
      <c r="G33" s="1348"/>
      <c r="H33" s="1349"/>
      <c r="I33" s="1350"/>
      <c r="J33" s="1350"/>
      <c r="K33" s="1350"/>
      <c r="L33" s="1350"/>
      <c r="M33" s="1350"/>
      <c r="N33" s="1350"/>
      <c r="O33" s="1350"/>
      <c r="P33" s="1351"/>
      <c r="Q33" s="1346"/>
      <c r="R33" s="1281"/>
    </row>
    <row r="34" spans="1:18" ht="13.8" thickBot="1">
      <c r="A34" s="1280"/>
      <c r="B34" s="1347"/>
      <c r="C34" s="1347"/>
      <c r="D34" s="1348"/>
      <c r="E34" s="1348"/>
      <c r="F34" s="1348"/>
      <c r="G34" s="1348"/>
      <c r="H34" s="1349"/>
      <c r="I34" s="1350"/>
      <c r="J34" s="1350"/>
      <c r="K34" s="1350"/>
      <c r="L34" s="1350"/>
      <c r="M34" s="1350"/>
      <c r="N34" s="1350"/>
      <c r="O34" s="1350"/>
      <c r="P34" s="1351"/>
      <c r="Q34" s="1346"/>
      <c r="R34" s="1281"/>
    </row>
    <row r="35" spans="1:18" ht="13.8" thickTop="1">
      <c r="A35" s="1352"/>
      <c r="B35" s="1352"/>
      <c r="C35" s="1352"/>
      <c r="D35" s="1353"/>
      <c r="E35" s="1353"/>
      <c r="F35" s="1353"/>
      <c r="G35" s="1353"/>
      <c r="H35" s="1354"/>
      <c r="I35" s="1355"/>
      <c r="J35" s="1355"/>
      <c r="K35" s="1355"/>
      <c r="L35" s="1355"/>
      <c r="M35" s="1355"/>
      <c r="N35" s="1355"/>
      <c r="O35" s="1355"/>
      <c r="P35" s="1356"/>
      <c r="Q35" s="1355"/>
    </row>
    <row r="36" spans="1:18">
      <c r="D36" s="1357"/>
      <c r="E36" s="1357"/>
      <c r="F36" s="1357"/>
      <c r="G36" s="1357"/>
      <c r="I36" s="1359"/>
      <c r="J36" s="1359"/>
      <c r="K36" s="1359"/>
      <c r="L36" s="1359"/>
      <c r="M36" s="1359"/>
      <c r="N36" s="1359"/>
      <c r="O36" s="1359"/>
      <c r="P36" s="1360"/>
      <c r="Q36" s="1359"/>
    </row>
    <row r="37" spans="1:18">
      <c r="D37" s="1357"/>
      <c r="E37" s="1357"/>
      <c r="F37" s="1357"/>
      <c r="G37" s="1357"/>
      <c r="I37" s="1359"/>
      <c r="J37" s="1359"/>
      <c r="K37" s="1359"/>
      <c r="L37" s="1359"/>
      <c r="M37" s="1359"/>
      <c r="N37" s="1359"/>
      <c r="O37" s="1359"/>
      <c r="P37" s="1360"/>
      <c r="Q37" s="1359"/>
    </row>
    <row r="38" spans="1:18">
      <c r="D38" s="1357"/>
      <c r="E38" s="1357"/>
      <c r="F38" s="1357"/>
      <c r="G38" s="1357"/>
      <c r="I38" s="1359"/>
      <c r="J38" s="1359"/>
      <c r="K38" s="1359"/>
      <c r="L38" s="1359"/>
      <c r="M38" s="1359"/>
      <c r="N38" s="1359"/>
      <c r="O38" s="1359"/>
      <c r="P38" s="1360"/>
      <c r="Q38" s="1359"/>
    </row>
    <row r="39" spans="1:18">
      <c r="D39" s="1357"/>
      <c r="E39" s="1357"/>
      <c r="F39" s="1357"/>
      <c r="G39" s="1357"/>
      <c r="I39" s="1359"/>
      <c r="J39" s="1359"/>
      <c r="K39" s="1359"/>
      <c r="L39" s="1359"/>
      <c r="M39" s="1359"/>
      <c r="N39" s="1359"/>
      <c r="O39" s="1359"/>
      <c r="P39" s="1360"/>
      <c r="Q39" s="1359"/>
    </row>
    <row r="40" spans="1:18">
      <c r="D40" s="1357"/>
      <c r="E40" s="1357"/>
      <c r="F40" s="1357"/>
      <c r="G40" s="1357"/>
      <c r="I40" s="1359"/>
      <c r="J40" s="1359"/>
      <c r="K40" s="1359"/>
      <c r="L40" s="1359"/>
      <c r="M40" s="1359"/>
      <c r="N40" s="1359"/>
      <c r="O40" s="1359"/>
      <c r="P40" s="1360"/>
      <c r="Q40" s="1359"/>
    </row>
    <row r="41" spans="1:18">
      <c r="D41" s="1357"/>
      <c r="E41" s="1357"/>
      <c r="F41" s="1357"/>
      <c r="G41" s="1357"/>
      <c r="I41" s="1359"/>
      <c r="J41" s="1359"/>
      <c r="K41" s="1359"/>
      <c r="L41" s="1359"/>
      <c r="M41" s="1359"/>
      <c r="N41" s="1359"/>
      <c r="O41" s="1359"/>
      <c r="P41" s="1360"/>
      <c r="Q41" s="1359"/>
    </row>
    <row r="42" spans="1:18">
      <c r="D42" s="1357"/>
      <c r="E42" s="1357"/>
      <c r="F42" s="1357"/>
      <c r="G42" s="1357"/>
      <c r="I42" s="1359"/>
      <c r="J42" s="1359"/>
      <c r="K42" s="1359"/>
      <c r="L42" s="1359"/>
      <c r="M42" s="1359"/>
      <c r="N42" s="1359"/>
      <c r="O42" s="1359"/>
      <c r="P42" s="1360"/>
      <c r="Q42" s="1359"/>
    </row>
    <row r="43" spans="1:18">
      <c r="D43" s="1357"/>
      <c r="E43" s="1357"/>
      <c r="F43" s="1361"/>
      <c r="G43" s="1357"/>
      <c r="I43" s="1359"/>
      <c r="J43" s="1359"/>
      <c r="K43" s="1359"/>
      <c r="L43" s="1359"/>
      <c r="M43" s="1359"/>
      <c r="N43" s="1359"/>
      <c r="O43" s="1359"/>
      <c r="P43" s="1360"/>
      <c r="Q43" s="1359"/>
    </row>
    <row r="44" spans="1:18">
      <c r="D44" s="1357"/>
      <c r="E44" s="1357"/>
      <c r="F44" s="1357"/>
      <c r="G44" s="1357"/>
      <c r="I44" s="1359"/>
      <c r="J44" s="1359"/>
      <c r="K44" s="1359"/>
      <c r="L44" s="1359"/>
      <c r="M44" s="1359"/>
      <c r="N44" s="1359"/>
      <c r="O44" s="1359"/>
      <c r="P44" s="1360"/>
      <c r="Q44" s="1359"/>
    </row>
    <row r="45" spans="1:18">
      <c r="D45" s="1357"/>
      <c r="E45" s="1357"/>
      <c r="F45" s="1357"/>
      <c r="G45" s="1357"/>
      <c r="I45" s="1359"/>
      <c r="J45" s="1359"/>
      <c r="K45" s="1359"/>
      <c r="L45" s="1359"/>
      <c r="M45" s="1359"/>
      <c r="N45" s="1359"/>
      <c r="O45" s="1359"/>
      <c r="P45" s="1360"/>
      <c r="Q45" s="1359"/>
    </row>
    <row r="46" spans="1:18">
      <c r="D46" s="1357"/>
      <c r="E46" s="1357"/>
      <c r="F46" s="1357"/>
      <c r="G46" s="1357"/>
      <c r="I46" s="1359"/>
      <c r="J46" s="1359"/>
      <c r="K46" s="1359"/>
      <c r="L46" s="1359"/>
      <c r="M46" s="1359"/>
      <c r="N46" s="1359"/>
      <c r="O46" s="1359"/>
      <c r="P46" s="1360"/>
      <c r="Q46" s="1359"/>
    </row>
    <row r="47" spans="1:18">
      <c r="D47" s="1357"/>
      <c r="E47" s="1357"/>
      <c r="F47" s="1357"/>
      <c r="G47" s="1357"/>
      <c r="I47" s="1359"/>
      <c r="J47" s="1359"/>
      <c r="K47" s="1359"/>
      <c r="L47" s="1359"/>
      <c r="M47" s="1359"/>
      <c r="N47" s="1359"/>
      <c r="O47" s="1359"/>
      <c r="P47" s="1360"/>
      <c r="Q47" s="1359"/>
    </row>
    <row r="48" spans="1:18">
      <c r="D48" s="1357"/>
      <c r="E48" s="1357"/>
      <c r="F48" s="1357"/>
      <c r="G48" s="1357"/>
      <c r="I48" s="1359"/>
      <c r="J48" s="1359"/>
      <c r="K48" s="1359"/>
      <c r="L48" s="1359"/>
      <c r="M48" s="1359"/>
      <c r="N48" s="1359"/>
      <c r="O48" s="1359"/>
      <c r="P48" s="1360"/>
      <c r="Q48" s="1359"/>
    </row>
    <row r="49" spans="4:17">
      <c r="D49" s="1357"/>
      <c r="E49" s="1357"/>
      <c r="F49" s="1357"/>
      <c r="G49" s="1357"/>
      <c r="I49" s="1359"/>
      <c r="J49" s="1359"/>
      <c r="K49" s="1359"/>
      <c r="L49" s="1359"/>
      <c r="M49" s="1359"/>
      <c r="N49" s="1359"/>
      <c r="O49" s="1359"/>
      <c r="P49" s="1360"/>
      <c r="Q49" s="1359"/>
    </row>
    <row r="50" spans="4:17">
      <c r="D50" s="1357"/>
      <c r="E50" s="1357"/>
      <c r="F50" s="1357"/>
      <c r="G50" s="1357"/>
      <c r="I50" s="1359"/>
      <c r="J50" s="1359"/>
      <c r="K50" s="1359"/>
      <c r="L50" s="1359"/>
      <c r="M50" s="1359"/>
      <c r="N50" s="1359"/>
      <c r="O50" s="1359"/>
      <c r="P50" s="1360"/>
      <c r="Q50" s="1359"/>
    </row>
    <row r="51" spans="4:17">
      <c r="D51" s="1357"/>
      <c r="E51" s="1357"/>
      <c r="F51" s="1357"/>
      <c r="G51" s="1357"/>
      <c r="I51" s="1359"/>
      <c r="J51" s="1359"/>
      <c r="K51" s="1359"/>
      <c r="L51" s="1359"/>
      <c r="M51" s="1359"/>
      <c r="N51" s="1359"/>
      <c r="O51" s="1359"/>
      <c r="P51" s="1360"/>
      <c r="Q51" s="1359"/>
    </row>
    <row r="52" spans="4:17">
      <c r="D52" s="1357"/>
      <c r="E52" s="1357"/>
      <c r="F52" s="1357"/>
      <c r="G52" s="1357"/>
      <c r="I52" s="1359"/>
      <c r="J52" s="1359"/>
      <c r="K52" s="1359"/>
      <c r="L52" s="1359"/>
      <c r="M52" s="1359"/>
      <c r="N52" s="1359"/>
      <c r="O52" s="1359"/>
      <c r="P52" s="1360"/>
      <c r="Q52" s="1359"/>
    </row>
    <row r="53" spans="4:17">
      <c r="D53" s="1357"/>
      <c r="E53" s="1357"/>
      <c r="F53" s="1357"/>
      <c r="G53" s="1357"/>
      <c r="I53" s="1359"/>
      <c r="J53" s="1359"/>
      <c r="K53" s="1359"/>
      <c r="L53" s="1359"/>
      <c r="M53" s="1359"/>
      <c r="N53" s="1359"/>
      <c r="O53" s="1359"/>
      <c r="P53" s="1360"/>
      <c r="Q53" s="1359"/>
    </row>
    <row r="54" spans="4:17">
      <c r="D54" s="1357"/>
      <c r="E54" s="1357"/>
      <c r="F54" s="1357"/>
      <c r="G54" s="1357"/>
      <c r="I54" s="1359"/>
      <c r="J54" s="1359"/>
      <c r="K54" s="1359"/>
      <c r="L54" s="1359"/>
      <c r="M54" s="1359"/>
      <c r="N54" s="1359"/>
      <c r="O54" s="1359"/>
      <c r="P54" s="1360"/>
      <c r="Q54" s="1359"/>
    </row>
    <row r="55" spans="4:17">
      <c r="D55" s="1357"/>
      <c r="E55" s="1357"/>
      <c r="F55" s="1357"/>
      <c r="G55" s="1357"/>
      <c r="I55" s="1359"/>
      <c r="J55" s="1359"/>
      <c r="K55" s="1359"/>
      <c r="L55" s="1359"/>
      <c r="M55" s="1359"/>
      <c r="N55" s="1359"/>
      <c r="O55" s="1359"/>
      <c r="P55" s="1360"/>
      <c r="Q55" s="1359"/>
    </row>
    <row r="56" spans="4:17">
      <c r="D56" s="1357"/>
      <c r="E56" s="1357"/>
      <c r="F56" s="1357"/>
      <c r="G56" s="1357"/>
      <c r="I56" s="1359"/>
      <c r="J56" s="1359"/>
      <c r="K56" s="1359"/>
      <c r="L56" s="1359"/>
      <c r="M56" s="1359"/>
      <c r="N56" s="1359"/>
      <c r="O56" s="1359"/>
      <c r="P56" s="1360"/>
      <c r="Q56" s="1359"/>
    </row>
    <row r="57" spans="4:17">
      <c r="D57" s="1357"/>
      <c r="E57" s="1357"/>
      <c r="F57" s="1357"/>
      <c r="G57" s="1357"/>
      <c r="I57" s="1359"/>
      <c r="J57" s="1359"/>
      <c r="K57" s="1359"/>
      <c r="L57" s="1359"/>
      <c r="M57" s="1359"/>
      <c r="N57" s="1359"/>
      <c r="O57" s="1359"/>
      <c r="P57" s="1360"/>
      <c r="Q57" s="1359"/>
    </row>
    <row r="58" spans="4:17">
      <c r="D58" s="1357"/>
      <c r="E58" s="1357"/>
      <c r="F58" s="1357"/>
      <c r="G58" s="1357"/>
      <c r="I58" s="1359"/>
      <c r="J58" s="1359"/>
      <c r="K58" s="1359"/>
      <c r="L58" s="1359"/>
      <c r="M58" s="1359"/>
      <c r="N58" s="1359"/>
      <c r="O58" s="1359"/>
      <c r="P58" s="1360"/>
      <c r="Q58" s="1359"/>
    </row>
    <row r="59" spans="4:17">
      <c r="D59" s="1357"/>
      <c r="E59" s="1357"/>
      <c r="F59" s="1357"/>
      <c r="G59" s="1357"/>
      <c r="I59" s="1359"/>
      <c r="J59" s="1359"/>
      <c r="K59" s="1359"/>
      <c r="L59" s="1359"/>
      <c r="M59" s="1359"/>
      <c r="N59" s="1359"/>
      <c r="O59" s="1359"/>
      <c r="P59" s="1360"/>
      <c r="Q59" s="1359"/>
    </row>
    <row r="60" spans="4:17">
      <c r="D60" s="1357"/>
      <c r="E60" s="1357"/>
      <c r="F60" s="1357"/>
      <c r="G60" s="1357"/>
      <c r="I60" s="1359"/>
      <c r="J60" s="1359"/>
      <c r="K60" s="1359"/>
      <c r="L60" s="1359"/>
      <c r="M60" s="1359"/>
      <c r="N60" s="1359"/>
      <c r="O60" s="1359"/>
      <c r="P60" s="1360"/>
      <c r="Q60" s="1359"/>
    </row>
    <row r="61" spans="4:17">
      <c r="D61" s="1357"/>
      <c r="E61" s="1357"/>
      <c r="F61" s="1357"/>
      <c r="G61" s="1357"/>
      <c r="I61" s="1359"/>
      <c r="J61" s="1359"/>
      <c r="K61" s="1359"/>
      <c r="L61" s="1359"/>
      <c r="M61" s="1359"/>
      <c r="N61" s="1359"/>
      <c r="O61" s="1359"/>
      <c r="P61" s="1360"/>
      <c r="Q61" s="1359"/>
    </row>
    <row r="62" spans="4:17">
      <c r="D62" s="1357"/>
      <c r="E62" s="1357"/>
      <c r="F62" s="1357"/>
      <c r="G62" s="1357"/>
      <c r="I62" s="1359"/>
      <c r="J62" s="1359"/>
      <c r="K62" s="1359"/>
      <c r="L62" s="1359"/>
      <c r="M62" s="1359"/>
      <c r="N62" s="1359"/>
      <c r="O62" s="1359"/>
      <c r="P62" s="1360"/>
      <c r="Q62" s="1359"/>
    </row>
    <row r="63" spans="4:17">
      <c r="D63" s="1357"/>
      <c r="E63" s="1357"/>
      <c r="F63" s="1357"/>
      <c r="G63" s="1357"/>
      <c r="I63" s="1359"/>
      <c r="J63" s="1359"/>
      <c r="K63" s="1359"/>
      <c r="L63" s="1359"/>
      <c r="M63" s="1359"/>
      <c r="N63" s="1359"/>
      <c r="O63" s="1359"/>
      <c r="P63" s="1360"/>
      <c r="Q63" s="1359"/>
    </row>
    <row r="64" spans="4:17">
      <c r="D64" s="1357"/>
      <c r="E64" s="1357"/>
      <c r="F64" s="1357"/>
      <c r="G64" s="1357"/>
      <c r="I64" s="1359"/>
      <c r="J64" s="1359"/>
      <c r="K64" s="1359"/>
      <c r="L64" s="1359"/>
      <c r="M64" s="1359"/>
      <c r="N64" s="1359"/>
      <c r="O64" s="1359"/>
      <c r="P64" s="1360"/>
      <c r="Q64" s="1359"/>
    </row>
    <row r="65" spans="4:17">
      <c r="D65" s="1357"/>
      <c r="E65" s="1357"/>
      <c r="F65" s="1357"/>
      <c r="G65" s="1357"/>
      <c r="I65" s="1359"/>
      <c r="J65" s="1359"/>
      <c r="K65" s="1359"/>
      <c r="L65" s="1359"/>
      <c r="M65" s="1359"/>
      <c r="N65" s="1359"/>
      <c r="O65" s="1359"/>
      <c r="P65" s="1360"/>
      <c r="Q65" s="1359"/>
    </row>
    <row r="66" spans="4:17">
      <c r="D66" s="1357"/>
      <c r="E66" s="1357"/>
      <c r="F66" s="1357"/>
      <c r="G66" s="1357"/>
      <c r="I66" s="1359"/>
      <c r="J66" s="1359"/>
      <c r="K66" s="1359"/>
      <c r="L66" s="1359"/>
      <c r="M66" s="1359"/>
      <c r="N66" s="1359"/>
      <c r="O66" s="1359"/>
      <c r="P66" s="1360"/>
      <c r="Q66" s="1359"/>
    </row>
    <row r="67" spans="4:17">
      <c r="D67" s="1357"/>
      <c r="E67" s="1357"/>
      <c r="F67" s="1357"/>
      <c r="G67" s="1357"/>
      <c r="I67" s="1359"/>
      <c r="J67" s="1359"/>
      <c r="K67" s="1359"/>
      <c r="L67" s="1359"/>
      <c r="M67" s="1359"/>
      <c r="N67" s="1359"/>
      <c r="O67" s="1359"/>
      <c r="P67" s="1360"/>
      <c r="Q67" s="1359"/>
    </row>
    <row r="68" spans="4:17">
      <c r="D68" s="1357"/>
      <c r="E68" s="1357"/>
      <c r="F68" s="1357"/>
      <c r="G68" s="1357"/>
      <c r="I68" s="1359"/>
      <c r="J68" s="1359"/>
      <c r="K68" s="1359"/>
      <c r="L68" s="1359"/>
      <c r="M68" s="1359"/>
      <c r="N68" s="1359"/>
      <c r="O68" s="1359"/>
      <c r="P68" s="1360"/>
      <c r="Q68" s="1359"/>
    </row>
    <row r="69" spans="4:17">
      <c r="D69" s="1357"/>
      <c r="E69" s="1357"/>
      <c r="F69" s="1357"/>
      <c r="G69" s="1357"/>
      <c r="I69" s="1359"/>
      <c r="J69" s="1359"/>
      <c r="K69" s="1359"/>
      <c r="L69" s="1359"/>
      <c r="M69" s="1359"/>
      <c r="N69" s="1359"/>
      <c r="O69" s="1359"/>
      <c r="P69" s="1360"/>
      <c r="Q69" s="1359"/>
    </row>
    <row r="70" spans="4:17">
      <c r="D70" s="1357"/>
      <c r="E70" s="1357"/>
      <c r="F70" s="1357"/>
      <c r="G70" s="1357"/>
      <c r="I70" s="1359"/>
      <c r="J70" s="1359"/>
      <c r="K70" s="1359"/>
      <c r="L70" s="1359"/>
      <c r="M70" s="1359"/>
      <c r="N70" s="1359"/>
      <c r="O70" s="1359"/>
      <c r="P70" s="1360"/>
      <c r="Q70" s="1359"/>
    </row>
    <row r="71" spans="4:17">
      <c r="D71" s="1357"/>
      <c r="E71" s="1357"/>
      <c r="F71" s="1357"/>
      <c r="G71" s="1357"/>
      <c r="I71" s="1359"/>
      <c r="J71" s="1359"/>
      <c r="K71" s="1359"/>
      <c r="L71" s="1359"/>
      <c r="M71" s="1359"/>
      <c r="N71" s="1359"/>
      <c r="O71" s="1359"/>
      <c r="P71" s="1360"/>
      <c r="Q71" s="1359"/>
    </row>
    <row r="72" spans="4:17">
      <c r="D72" s="1357"/>
      <c r="E72" s="1357"/>
      <c r="F72" s="1357"/>
      <c r="G72" s="1357"/>
      <c r="I72" s="1359"/>
      <c r="J72" s="1359"/>
      <c r="K72" s="1359"/>
      <c r="L72" s="1359"/>
      <c r="M72" s="1359"/>
      <c r="N72" s="1359"/>
      <c r="O72" s="1359"/>
      <c r="P72" s="1360"/>
      <c r="Q72" s="1359"/>
    </row>
    <row r="73" spans="4:17">
      <c r="D73" s="1357"/>
      <c r="E73" s="1357"/>
      <c r="F73" s="1357"/>
      <c r="G73" s="1357"/>
      <c r="I73" s="1359"/>
      <c r="J73" s="1359"/>
      <c r="K73" s="1359"/>
      <c r="L73" s="1359"/>
      <c r="M73" s="1359"/>
      <c r="N73" s="1359"/>
      <c r="O73" s="1359"/>
      <c r="P73" s="1360"/>
      <c r="Q73" s="1359"/>
    </row>
    <row r="74" spans="4:17">
      <c r="D74" s="1357"/>
      <c r="E74" s="1357"/>
      <c r="F74" s="1357"/>
      <c r="G74" s="1357"/>
      <c r="I74" s="1359"/>
      <c r="J74" s="1359"/>
      <c r="K74" s="1359"/>
      <c r="L74" s="1359"/>
      <c r="M74" s="1359"/>
      <c r="N74" s="1359"/>
      <c r="O74" s="1359"/>
      <c r="P74" s="1360"/>
      <c r="Q74" s="1359"/>
    </row>
    <row r="75" spans="4:17">
      <c r="D75" s="1357"/>
      <c r="E75" s="1357"/>
      <c r="F75" s="1357"/>
      <c r="G75" s="1357"/>
      <c r="I75" s="1359"/>
      <c r="J75" s="1359"/>
      <c r="K75" s="1359"/>
      <c r="L75" s="1359"/>
      <c r="M75" s="1359"/>
      <c r="N75" s="1359"/>
      <c r="O75" s="1359"/>
      <c r="P75" s="1360"/>
      <c r="Q75" s="1359"/>
    </row>
    <row r="76" spans="4:17">
      <c r="D76" s="1357"/>
      <c r="E76" s="1357"/>
      <c r="F76" s="1357"/>
      <c r="G76" s="1357"/>
      <c r="I76" s="1359"/>
      <c r="J76" s="1359"/>
      <c r="K76" s="1359"/>
      <c r="L76" s="1359"/>
      <c r="M76" s="1359"/>
      <c r="N76" s="1359"/>
      <c r="O76" s="1359"/>
      <c r="P76" s="1360"/>
      <c r="Q76" s="1359"/>
    </row>
    <row r="77" spans="4:17">
      <c r="D77" s="1357"/>
      <c r="E77" s="1357"/>
      <c r="F77" s="1357"/>
      <c r="G77" s="1357"/>
      <c r="I77" s="1359"/>
      <c r="J77" s="1359"/>
      <c r="K77" s="1359"/>
      <c r="L77" s="1359"/>
      <c r="M77" s="1359"/>
      <c r="N77" s="1359"/>
      <c r="O77" s="1359"/>
      <c r="P77" s="1360"/>
      <c r="Q77" s="1359"/>
    </row>
    <row r="78" spans="4:17">
      <c r="D78" s="1357"/>
      <c r="E78" s="1357"/>
      <c r="F78" s="1357"/>
      <c r="G78" s="1357"/>
      <c r="I78" s="1359"/>
      <c r="J78" s="1359"/>
      <c r="K78" s="1359"/>
      <c r="L78" s="1359"/>
      <c r="M78" s="1359"/>
      <c r="N78" s="1359"/>
      <c r="O78" s="1359"/>
      <c r="P78" s="1360"/>
      <c r="Q78" s="1359"/>
    </row>
    <row r="79" spans="4:17">
      <c r="D79" s="1357"/>
      <c r="E79" s="1357"/>
      <c r="F79" s="1357"/>
      <c r="G79" s="1357"/>
      <c r="I79" s="1359"/>
      <c r="J79" s="1359"/>
      <c r="K79" s="1359"/>
      <c r="L79" s="1359"/>
      <c r="M79" s="1359"/>
      <c r="N79" s="1359"/>
      <c r="O79" s="1359"/>
      <c r="P79" s="1360"/>
      <c r="Q79" s="1359"/>
    </row>
    <row r="80" spans="4:17">
      <c r="D80" s="1357"/>
      <c r="E80" s="1357"/>
      <c r="F80" s="1357"/>
      <c r="G80" s="1357"/>
      <c r="I80" s="1359"/>
      <c r="J80" s="1359"/>
      <c r="K80" s="1359"/>
      <c r="L80" s="1359"/>
      <c r="M80" s="1359"/>
      <c r="N80" s="1359"/>
      <c r="O80" s="1359"/>
      <c r="P80" s="1360"/>
      <c r="Q80" s="1359"/>
    </row>
    <row r="81" spans="4:17">
      <c r="D81" s="1357"/>
      <c r="E81" s="1357"/>
      <c r="F81" s="1357"/>
      <c r="G81" s="1357"/>
      <c r="I81" s="1359"/>
      <c r="J81" s="1359"/>
      <c r="K81" s="1359"/>
      <c r="L81" s="1359"/>
      <c r="M81" s="1359"/>
      <c r="N81" s="1359"/>
      <c r="O81" s="1359"/>
      <c r="P81" s="1360"/>
      <c r="Q81" s="1359"/>
    </row>
    <row r="82" spans="4:17">
      <c r="D82" s="1357"/>
      <c r="E82" s="1357"/>
      <c r="F82" s="1357"/>
      <c r="G82" s="1357"/>
      <c r="I82" s="1359"/>
      <c r="J82" s="1359"/>
      <c r="K82" s="1359"/>
      <c r="L82" s="1359"/>
      <c r="M82" s="1359"/>
      <c r="N82" s="1359"/>
      <c r="O82" s="1359"/>
      <c r="P82" s="1360"/>
      <c r="Q82" s="1359"/>
    </row>
    <row r="83" spans="4:17">
      <c r="D83" s="1357"/>
      <c r="E83" s="1357"/>
      <c r="F83" s="1357"/>
      <c r="G83" s="1357"/>
      <c r="I83" s="1359"/>
      <c r="J83" s="1359"/>
      <c r="K83" s="1359"/>
      <c r="L83" s="1359"/>
      <c r="M83" s="1359"/>
      <c r="N83" s="1359"/>
      <c r="O83" s="1359"/>
      <c r="P83" s="1360"/>
      <c r="Q83" s="1359"/>
    </row>
    <row r="84" spans="4:17">
      <c r="D84" s="1357"/>
      <c r="E84" s="1357"/>
      <c r="F84" s="1357"/>
      <c r="G84" s="1357"/>
      <c r="I84" s="1359"/>
      <c r="J84" s="1359"/>
      <c r="K84" s="1359"/>
      <c r="L84" s="1359"/>
      <c r="M84" s="1359"/>
      <c r="N84" s="1359"/>
      <c r="O84" s="1359"/>
      <c r="P84" s="1360"/>
      <c r="Q84" s="1359"/>
    </row>
    <row r="85" spans="4:17">
      <c r="D85" s="1357"/>
      <c r="E85" s="1357"/>
      <c r="F85" s="1357"/>
      <c r="G85" s="1357"/>
      <c r="I85" s="1359"/>
      <c r="J85" s="1359"/>
      <c r="K85" s="1359"/>
      <c r="L85" s="1359"/>
      <c r="M85" s="1359"/>
      <c r="N85" s="1359"/>
      <c r="O85" s="1359"/>
      <c r="P85" s="1360"/>
      <c r="Q85" s="1359"/>
    </row>
    <row r="86" spans="4:17">
      <c r="D86" s="1357"/>
      <c r="E86" s="1357"/>
      <c r="F86" s="1357"/>
      <c r="G86" s="1357"/>
      <c r="I86" s="1359"/>
      <c r="J86" s="1359"/>
      <c r="K86" s="1359"/>
      <c r="L86" s="1359"/>
      <c r="M86" s="1359"/>
      <c r="N86" s="1359"/>
      <c r="O86" s="1359"/>
      <c r="P86" s="1360"/>
      <c r="Q86" s="1359"/>
    </row>
    <row r="87" spans="4:17">
      <c r="D87" s="1357"/>
      <c r="E87" s="1357"/>
      <c r="F87" s="1357"/>
      <c r="G87" s="1357"/>
      <c r="I87" s="1359"/>
      <c r="J87" s="1359"/>
      <c r="K87" s="1359"/>
      <c r="L87" s="1359"/>
      <c r="M87" s="1359"/>
      <c r="N87" s="1359"/>
      <c r="O87" s="1359"/>
      <c r="P87" s="1360"/>
      <c r="Q87" s="1359"/>
    </row>
    <row r="88" spans="4:17">
      <c r="D88" s="1357"/>
      <c r="E88" s="1357"/>
      <c r="F88" s="1357"/>
      <c r="G88" s="1357"/>
      <c r="I88" s="1359"/>
      <c r="J88" s="1359"/>
      <c r="K88" s="1359"/>
      <c r="L88" s="1359"/>
      <c r="M88" s="1359"/>
      <c r="N88" s="1359"/>
      <c r="O88" s="1359"/>
      <c r="P88" s="1360"/>
      <c r="Q88" s="1359"/>
    </row>
    <row r="89" spans="4:17">
      <c r="D89" s="1357"/>
      <c r="E89" s="1357"/>
      <c r="F89" s="1357"/>
      <c r="G89" s="1357"/>
      <c r="I89" s="1359"/>
      <c r="J89" s="1359"/>
      <c r="K89" s="1359"/>
      <c r="L89" s="1359"/>
      <c r="M89" s="1359"/>
      <c r="N89" s="1359"/>
      <c r="O89" s="1359"/>
      <c r="P89" s="1360"/>
      <c r="Q89" s="1359"/>
    </row>
    <row r="90" spans="4:17">
      <c r="D90" s="1357"/>
      <c r="E90" s="1357"/>
      <c r="F90" s="1357"/>
      <c r="G90" s="1357"/>
      <c r="I90" s="1359"/>
      <c r="J90" s="1359"/>
      <c r="K90" s="1359"/>
      <c r="L90" s="1359"/>
      <c r="M90" s="1359"/>
      <c r="N90" s="1359"/>
      <c r="O90" s="1359"/>
      <c r="P90" s="1360"/>
      <c r="Q90" s="1359"/>
    </row>
    <row r="91" spans="4:17">
      <c r="D91" s="1357"/>
      <c r="E91" s="1357"/>
      <c r="F91" s="1357"/>
      <c r="G91" s="1357"/>
      <c r="I91" s="1359"/>
      <c r="J91" s="1359"/>
      <c r="K91" s="1359"/>
      <c r="L91" s="1359"/>
      <c r="M91" s="1359"/>
      <c r="N91" s="1359"/>
      <c r="O91" s="1359"/>
      <c r="P91" s="1360"/>
      <c r="Q91" s="1359"/>
    </row>
    <row r="92" spans="4:17">
      <c r="D92" s="1357"/>
      <c r="E92" s="1357"/>
      <c r="F92" s="1357"/>
      <c r="G92" s="1357"/>
      <c r="I92" s="1359"/>
      <c r="J92" s="1359"/>
      <c r="K92" s="1359"/>
      <c r="L92" s="1359"/>
      <c r="M92" s="1359"/>
      <c r="N92" s="1359"/>
      <c r="O92" s="1359"/>
      <c r="P92" s="1360"/>
      <c r="Q92" s="1359"/>
    </row>
    <row r="93" spans="4:17">
      <c r="D93" s="1357"/>
      <c r="E93" s="1357"/>
      <c r="F93" s="1357"/>
      <c r="G93" s="1357"/>
      <c r="I93" s="1359"/>
      <c r="J93" s="1359"/>
      <c r="K93" s="1359"/>
      <c r="L93" s="1359"/>
      <c r="M93" s="1359"/>
      <c r="N93" s="1359"/>
      <c r="O93" s="1359"/>
      <c r="P93" s="1360"/>
      <c r="Q93" s="1359"/>
    </row>
    <row r="94" spans="4:17">
      <c r="D94" s="1357"/>
      <c r="E94" s="1357"/>
      <c r="F94" s="1357"/>
      <c r="G94" s="1357"/>
      <c r="I94" s="1359"/>
      <c r="J94" s="1359"/>
      <c r="K94" s="1359"/>
      <c r="L94" s="1359"/>
      <c r="M94" s="1359"/>
      <c r="N94" s="1359"/>
      <c r="O94" s="1359"/>
      <c r="P94" s="1360"/>
      <c r="Q94" s="1359"/>
    </row>
    <row r="95" spans="4:17">
      <c r="D95" s="1357"/>
      <c r="E95" s="1357"/>
      <c r="F95" s="1357"/>
      <c r="G95" s="1357"/>
      <c r="I95" s="1359"/>
      <c r="J95" s="1359"/>
      <c r="K95" s="1359"/>
      <c r="L95" s="1359"/>
      <c r="M95" s="1359"/>
      <c r="N95" s="1359"/>
      <c r="O95" s="1359"/>
      <c r="P95" s="1360"/>
      <c r="Q95" s="1359"/>
    </row>
    <row r="96" spans="4:17">
      <c r="D96" s="1357"/>
      <c r="E96" s="1357"/>
      <c r="F96" s="1357"/>
      <c r="G96" s="1357"/>
      <c r="I96" s="1359"/>
      <c r="J96" s="1359"/>
      <c r="K96" s="1359"/>
      <c r="L96" s="1359"/>
      <c r="M96" s="1359"/>
      <c r="N96" s="1359"/>
      <c r="O96" s="1359"/>
      <c r="P96" s="1360"/>
      <c r="Q96" s="1359"/>
    </row>
    <row r="97" spans="4:17">
      <c r="D97" s="1357"/>
      <c r="E97" s="1357"/>
      <c r="F97" s="1357"/>
      <c r="G97" s="1357"/>
      <c r="I97" s="1359"/>
      <c r="J97" s="1359"/>
      <c r="K97" s="1359"/>
      <c r="L97" s="1359"/>
      <c r="M97" s="1359"/>
      <c r="N97" s="1359"/>
      <c r="O97" s="1359"/>
      <c r="P97" s="1360"/>
      <c r="Q97" s="1359"/>
    </row>
    <row r="98" spans="4:17">
      <c r="D98" s="1357"/>
      <c r="E98" s="1357"/>
      <c r="F98" s="1357"/>
      <c r="G98" s="1357"/>
      <c r="I98" s="1359"/>
      <c r="J98" s="1359"/>
      <c r="K98" s="1359"/>
      <c r="L98" s="1359"/>
      <c r="M98" s="1359"/>
      <c r="N98" s="1359"/>
      <c r="O98" s="1359"/>
      <c r="P98" s="1360"/>
      <c r="Q98" s="1359"/>
    </row>
    <row r="99" spans="4:17">
      <c r="D99" s="1357"/>
      <c r="E99" s="1357"/>
      <c r="F99" s="1357"/>
      <c r="G99" s="1357"/>
      <c r="I99" s="1359"/>
      <c r="J99" s="1359"/>
      <c r="K99" s="1359"/>
      <c r="L99" s="1359"/>
      <c r="M99" s="1359"/>
      <c r="N99" s="1359"/>
      <c r="O99" s="1359"/>
      <c r="P99" s="1360"/>
      <c r="Q99" s="1359"/>
    </row>
    <row r="100" spans="4:17">
      <c r="D100" s="1357"/>
      <c r="E100" s="1357"/>
      <c r="F100" s="1357"/>
      <c r="G100" s="1357"/>
      <c r="I100" s="1359"/>
      <c r="J100" s="1359"/>
      <c r="K100" s="1359"/>
      <c r="L100" s="1359"/>
      <c r="M100" s="1359"/>
      <c r="N100" s="1359"/>
      <c r="O100" s="1359"/>
      <c r="P100" s="1360"/>
      <c r="Q100" s="1359"/>
    </row>
    <row r="101" spans="4:17">
      <c r="D101" s="1357"/>
      <c r="E101" s="1357"/>
      <c r="F101" s="1357"/>
      <c r="G101" s="1357"/>
      <c r="I101" s="1359"/>
      <c r="J101" s="1359"/>
      <c r="K101" s="1359"/>
      <c r="L101" s="1359"/>
      <c r="M101" s="1359"/>
      <c r="N101" s="1359"/>
      <c r="O101" s="1359"/>
      <c r="P101" s="1360"/>
      <c r="Q101" s="1359"/>
    </row>
    <row r="102" spans="4:17">
      <c r="D102" s="1357"/>
      <c r="E102" s="1357"/>
      <c r="F102" s="1357"/>
      <c r="G102" s="1357"/>
      <c r="I102" s="1359"/>
      <c r="J102" s="1359"/>
      <c r="K102" s="1359"/>
      <c r="L102" s="1359"/>
      <c r="M102" s="1359"/>
      <c r="N102" s="1359"/>
      <c r="O102" s="1359"/>
      <c r="P102" s="1360"/>
      <c r="Q102" s="1359"/>
    </row>
    <row r="103" spans="4:17">
      <c r="D103" s="1357"/>
      <c r="E103" s="1357"/>
      <c r="F103" s="1357"/>
      <c r="G103" s="1357"/>
      <c r="I103" s="1359"/>
      <c r="J103" s="1359"/>
      <c r="K103" s="1359"/>
      <c r="L103" s="1359"/>
      <c r="M103" s="1359"/>
      <c r="N103" s="1359"/>
      <c r="O103" s="1359"/>
      <c r="P103" s="1360"/>
      <c r="Q103" s="1359"/>
    </row>
    <row r="104" spans="4:17">
      <c r="D104" s="1357"/>
      <c r="E104" s="1357"/>
      <c r="F104" s="1357"/>
      <c r="G104" s="1357"/>
      <c r="I104" s="1359"/>
      <c r="J104" s="1359"/>
      <c r="K104" s="1359"/>
      <c r="L104" s="1359"/>
      <c r="M104" s="1359"/>
      <c r="N104" s="1359"/>
      <c r="O104" s="1359"/>
      <c r="P104" s="1360"/>
      <c r="Q104" s="1359"/>
    </row>
    <row r="105" spans="4:17">
      <c r="D105" s="1357"/>
      <c r="E105" s="1357"/>
      <c r="F105" s="1357"/>
      <c r="G105" s="1357"/>
      <c r="I105" s="1359"/>
      <c r="J105" s="1359"/>
      <c r="K105" s="1359"/>
      <c r="L105" s="1359"/>
      <c r="M105" s="1359"/>
      <c r="N105" s="1359"/>
      <c r="O105" s="1359"/>
      <c r="P105" s="1360"/>
      <c r="Q105" s="1359"/>
    </row>
    <row r="106" spans="4:17">
      <c r="D106" s="1357"/>
      <c r="E106" s="1357"/>
      <c r="F106" s="1357"/>
      <c r="G106" s="1357"/>
      <c r="I106" s="1359"/>
      <c r="J106" s="1359"/>
      <c r="K106" s="1359"/>
      <c r="L106" s="1359"/>
      <c r="M106" s="1359"/>
      <c r="N106" s="1359"/>
      <c r="O106" s="1359"/>
      <c r="P106" s="1360"/>
      <c r="Q106" s="1359"/>
    </row>
    <row r="107" spans="4:17">
      <c r="D107" s="1357"/>
      <c r="E107" s="1357"/>
      <c r="F107" s="1357"/>
      <c r="G107" s="1357"/>
      <c r="I107" s="1359"/>
      <c r="J107" s="1359"/>
      <c r="K107" s="1359"/>
      <c r="L107" s="1359"/>
      <c r="M107" s="1359"/>
      <c r="N107" s="1359"/>
      <c r="O107" s="1359"/>
      <c r="P107" s="1360"/>
      <c r="Q107" s="1359"/>
    </row>
    <row r="108" spans="4:17">
      <c r="D108" s="1357"/>
      <c r="E108" s="1357"/>
      <c r="F108" s="1357"/>
      <c r="G108" s="1357"/>
      <c r="I108" s="1359"/>
      <c r="J108" s="1359"/>
      <c r="K108" s="1359"/>
      <c r="L108" s="1359"/>
      <c r="M108" s="1359"/>
      <c r="N108" s="1359"/>
      <c r="O108" s="1359"/>
      <c r="P108" s="1360"/>
      <c r="Q108" s="1359"/>
    </row>
    <row r="109" spans="4:17">
      <c r="D109" s="1357"/>
      <c r="E109" s="1357"/>
      <c r="F109" s="1357"/>
      <c r="G109" s="1357"/>
      <c r="I109" s="1359"/>
      <c r="J109" s="1359"/>
      <c r="K109" s="1359"/>
      <c r="L109" s="1359"/>
      <c r="M109" s="1359"/>
      <c r="N109" s="1359"/>
      <c r="O109" s="1359"/>
      <c r="P109" s="1360"/>
      <c r="Q109" s="1359"/>
    </row>
    <row r="110" spans="4:17">
      <c r="D110" s="1357"/>
      <c r="E110" s="1357"/>
      <c r="F110" s="1357"/>
      <c r="G110" s="1357"/>
      <c r="I110" s="1359"/>
      <c r="J110" s="1359"/>
      <c r="K110" s="1359"/>
      <c r="L110" s="1359"/>
      <c r="M110" s="1359"/>
      <c r="N110" s="1359"/>
      <c r="O110" s="1359"/>
      <c r="P110" s="1360"/>
      <c r="Q110" s="1359"/>
    </row>
    <row r="111" spans="4:17">
      <c r="D111" s="1357"/>
      <c r="E111" s="1357"/>
      <c r="F111" s="1357"/>
      <c r="G111" s="1357"/>
      <c r="I111" s="1359"/>
      <c r="J111" s="1359"/>
      <c r="K111" s="1359"/>
      <c r="L111" s="1359"/>
      <c r="M111" s="1359"/>
      <c r="N111" s="1359"/>
      <c r="O111" s="1359"/>
      <c r="P111" s="1360"/>
      <c r="Q111" s="1359"/>
    </row>
    <row r="112" spans="4:17">
      <c r="D112" s="1357"/>
      <c r="E112" s="1357"/>
      <c r="F112" s="1357"/>
      <c r="G112" s="1357"/>
      <c r="I112" s="1359"/>
      <c r="J112" s="1359"/>
      <c r="K112" s="1359"/>
      <c r="L112" s="1359"/>
      <c r="M112" s="1359"/>
      <c r="N112" s="1359"/>
      <c r="O112" s="1359"/>
      <c r="P112" s="1360"/>
      <c r="Q112" s="1359"/>
    </row>
    <row r="113" spans="4:17">
      <c r="D113" s="1357"/>
      <c r="E113" s="1357"/>
      <c r="F113" s="1357"/>
      <c r="G113" s="1357"/>
      <c r="I113" s="1359"/>
      <c r="J113" s="1359"/>
      <c r="K113" s="1359"/>
      <c r="L113" s="1359"/>
      <c r="M113" s="1359"/>
      <c r="N113" s="1359"/>
      <c r="O113" s="1359"/>
      <c r="P113" s="1360"/>
      <c r="Q113" s="1359"/>
    </row>
    <row r="114" spans="4:17">
      <c r="D114" s="1357"/>
      <c r="E114" s="1357"/>
      <c r="F114" s="1357"/>
      <c r="G114" s="1357"/>
      <c r="I114" s="1359"/>
      <c r="J114" s="1359"/>
      <c r="K114" s="1359"/>
      <c r="L114" s="1359"/>
      <c r="M114" s="1359"/>
      <c r="N114" s="1359"/>
      <c r="O114" s="1359"/>
      <c r="P114" s="1360"/>
      <c r="Q114" s="1359"/>
    </row>
    <row r="115" spans="4:17">
      <c r="D115" s="1357"/>
      <c r="E115" s="1357"/>
      <c r="F115" s="1357"/>
      <c r="G115" s="1357"/>
      <c r="I115" s="1359"/>
      <c r="J115" s="1359"/>
      <c r="K115" s="1359"/>
      <c r="L115" s="1359"/>
      <c r="M115" s="1359"/>
      <c r="N115" s="1359"/>
      <c r="O115" s="1359"/>
      <c r="P115" s="1360"/>
      <c r="Q115" s="1359"/>
    </row>
    <row r="116" spans="4:17">
      <c r="D116" s="1357"/>
      <c r="E116" s="1357"/>
      <c r="F116" s="1357"/>
      <c r="G116" s="1357"/>
      <c r="I116" s="1359"/>
      <c r="J116" s="1359"/>
      <c r="K116" s="1359"/>
      <c r="L116" s="1359"/>
      <c r="M116" s="1359"/>
      <c r="N116" s="1359"/>
      <c r="O116" s="1359"/>
      <c r="P116" s="1360"/>
      <c r="Q116" s="1359"/>
    </row>
    <row r="117" spans="4:17">
      <c r="D117" s="1357"/>
      <c r="E117" s="1357"/>
      <c r="F117" s="1357"/>
      <c r="G117" s="1357"/>
      <c r="I117" s="1359"/>
      <c r="J117" s="1359"/>
      <c r="K117" s="1359"/>
      <c r="L117" s="1359"/>
      <c r="M117" s="1359"/>
      <c r="N117" s="1359"/>
      <c r="O117" s="1359"/>
      <c r="P117" s="1360"/>
      <c r="Q117" s="1359"/>
    </row>
    <row r="118" spans="4:17">
      <c r="D118" s="1357"/>
      <c r="E118" s="1357"/>
      <c r="F118" s="1357"/>
      <c r="G118" s="1357"/>
      <c r="I118" s="1359"/>
      <c r="J118" s="1359"/>
      <c r="K118" s="1359"/>
      <c r="L118" s="1359"/>
      <c r="M118" s="1359"/>
      <c r="N118" s="1359"/>
      <c r="O118" s="1359"/>
      <c r="P118" s="1360"/>
      <c r="Q118" s="1359"/>
    </row>
    <row r="119" spans="4:17">
      <c r="D119" s="1357"/>
      <c r="E119" s="1357"/>
      <c r="F119" s="1357"/>
      <c r="G119" s="1357"/>
      <c r="I119" s="1359"/>
      <c r="J119" s="1359"/>
      <c r="K119" s="1359"/>
      <c r="L119" s="1359"/>
      <c r="M119" s="1359"/>
      <c r="N119" s="1359"/>
      <c r="O119" s="1359"/>
      <c r="P119" s="1360"/>
      <c r="Q119" s="1359"/>
    </row>
    <row r="120" spans="4:17">
      <c r="D120" s="1357"/>
      <c r="E120" s="1357"/>
      <c r="F120" s="1357"/>
      <c r="G120" s="1357"/>
      <c r="I120" s="1359"/>
      <c r="J120" s="1359"/>
      <c r="K120" s="1359"/>
      <c r="L120" s="1359"/>
      <c r="M120" s="1359"/>
      <c r="N120" s="1359"/>
      <c r="O120" s="1359"/>
      <c r="P120" s="1360"/>
      <c r="Q120" s="1359"/>
    </row>
    <row r="121" spans="4:17">
      <c r="D121" s="1357"/>
      <c r="E121" s="1357"/>
      <c r="F121" s="1357"/>
      <c r="G121" s="1357"/>
      <c r="I121" s="1359"/>
      <c r="J121" s="1359"/>
      <c r="K121" s="1359"/>
      <c r="L121" s="1359"/>
      <c r="M121" s="1359"/>
      <c r="N121" s="1359"/>
      <c r="O121" s="1359"/>
      <c r="P121" s="1360"/>
      <c r="Q121" s="1359"/>
    </row>
    <row r="122" spans="4:17">
      <c r="D122" s="1357"/>
      <c r="E122" s="1357"/>
      <c r="F122" s="1357"/>
      <c r="G122" s="1357"/>
      <c r="I122" s="1359"/>
      <c r="J122" s="1359"/>
      <c r="K122" s="1359"/>
      <c r="L122" s="1359"/>
      <c r="M122" s="1359"/>
      <c r="N122" s="1359"/>
      <c r="O122" s="1359"/>
      <c r="P122" s="1359"/>
      <c r="Q122" s="1359"/>
    </row>
    <row r="123" spans="4:17">
      <c r="D123" s="1357"/>
      <c r="E123" s="1357"/>
      <c r="F123" s="1357"/>
      <c r="G123" s="1357"/>
      <c r="I123" s="1359"/>
      <c r="J123" s="1359"/>
      <c r="K123" s="1359"/>
      <c r="L123" s="1359"/>
      <c r="M123" s="1359"/>
      <c r="N123" s="1359"/>
      <c r="O123" s="1359"/>
      <c r="P123" s="1359"/>
      <c r="Q123" s="1359"/>
    </row>
    <row r="124" spans="4:17">
      <c r="D124" s="1357"/>
      <c r="E124" s="1357"/>
      <c r="F124" s="1357"/>
      <c r="G124" s="1357"/>
      <c r="I124" s="1359"/>
      <c r="J124" s="1359"/>
      <c r="K124" s="1359"/>
      <c r="L124" s="1359"/>
      <c r="M124" s="1359"/>
      <c r="N124" s="1359"/>
      <c r="O124" s="1359"/>
      <c r="P124" s="1359"/>
      <c r="Q124" s="1359"/>
    </row>
    <row r="125" spans="4:17">
      <c r="D125" s="1357"/>
      <c r="E125" s="1357"/>
      <c r="F125" s="1357"/>
      <c r="G125" s="1357"/>
      <c r="I125" s="1359"/>
      <c r="J125" s="1359"/>
      <c r="K125" s="1359"/>
      <c r="L125" s="1359"/>
      <c r="M125" s="1359"/>
      <c r="N125" s="1359"/>
      <c r="O125" s="1359"/>
      <c r="P125" s="1359"/>
      <c r="Q125" s="1359"/>
    </row>
    <row r="126" spans="4:17">
      <c r="D126" s="1357"/>
      <c r="E126" s="1357"/>
      <c r="F126" s="1357"/>
      <c r="G126" s="1357"/>
      <c r="I126" s="1359"/>
      <c r="J126" s="1359"/>
      <c r="K126" s="1359"/>
      <c r="L126" s="1359"/>
      <c r="M126" s="1359"/>
      <c r="N126" s="1359"/>
      <c r="O126" s="1359"/>
      <c r="P126" s="1359"/>
      <c r="Q126" s="1359"/>
    </row>
    <row r="127" spans="4:17">
      <c r="D127" s="1357"/>
      <c r="E127" s="1357"/>
      <c r="F127" s="1357"/>
      <c r="G127" s="1357"/>
      <c r="I127" s="1359"/>
      <c r="J127" s="1359"/>
      <c r="K127" s="1359"/>
      <c r="L127" s="1359"/>
      <c r="M127" s="1359"/>
      <c r="N127" s="1359"/>
      <c r="O127" s="1359"/>
      <c r="P127" s="1359"/>
      <c r="Q127" s="1359"/>
    </row>
    <row r="128" spans="4:17">
      <c r="D128" s="1357"/>
      <c r="E128" s="1357"/>
      <c r="F128" s="1357"/>
      <c r="G128" s="1357"/>
      <c r="I128" s="1359"/>
      <c r="J128" s="1359"/>
      <c r="K128" s="1359"/>
      <c r="L128" s="1359"/>
      <c r="M128" s="1359"/>
      <c r="N128" s="1359"/>
      <c r="O128" s="1359"/>
      <c r="P128" s="1359"/>
      <c r="Q128" s="1359"/>
    </row>
    <row r="129" spans="4:7">
      <c r="D129" s="1357"/>
      <c r="E129" s="1357"/>
      <c r="F129" s="1357"/>
      <c r="G129" s="1357"/>
    </row>
    <row r="130" spans="4:7">
      <c r="D130" s="1357"/>
      <c r="E130" s="1357"/>
      <c r="F130" s="1357"/>
      <c r="G130" s="1357"/>
    </row>
    <row r="131" spans="4:7">
      <c r="D131" s="1357"/>
      <c r="E131" s="1357"/>
      <c r="F131" s="1357"/>
      <c r="G131" s="1357"/>
    </row>
    <row r="132" spans="4:7">
      <c r="D132" s="1357"/>
      <c r="E132" s="1357"/>
      <c r="F132" s="1357"/>
      <c r="G132" s="1357"/>
    </row>
    <row r="133" spans="4:7">
      <c r="D133" s="1357"/>
      <c r="E133" s="1357"/>
      <c r="F133" s="1357"/>
      <c r="G133" s="1357"/>
    </row>
    <row r="134" spans="4:7">
      <c r="D134" s="1357"/>
      <c r="E134" s="1357"/>
      <c r="F134" s="1357"/>
      <c r="G134" s="1357"/>
    </row>
    <row r="135" spans="4:7">
      <c r="D135" s="1357"/>
      <c r="E135" s="1357"/>
      <c r="F135" s="1357"/>
      <c r="G135" s="1357"/>
    </row>
    <row r="136" spans="4:7">
      <c r="D136" s="1357"/>
      <c r="E136" s="1357"/>
      <c r="F136" s="1357"/>
      <c r="G136" s="1357"/>
    </row>
    <row r="137" spans="4:7">
      <c r="D137" s="1357"/>
      <c r="E137" s="1357"/>
      <c r="F137" s="1357"/>
      <c r="G137" s="1357"/>
    </row>
    <row r="138" spans="4:7">
      <c r="D138" s="1357"/>
      <c r="E138" s="1357"/>
      <c r="F138" s="1357"/>
      <c r="G138" s="1357"/>
    </row>
    <row r="139" spans="4:7">
      <c r="D139" s="1357"/>
      <c r="E139" s="1357"/>
      <c r="F139" s="1357"/>
      <c r="G139" s="1357"/>
    </row>
    <row r="140" spans="4:7">
      <c r="D140" s="1357"/>
      <c r="E140" s="1357"/>
      <c r="F140" s="1357"/>
      <c r="G140" s="1357"/>
    </row>
    <row r="141" spans="4:7">
      <c r="D141" s="1357"/>
      <c r="E141" s="1357"/>
      <c r="F141" s="1357"/>
      <c r="G141" s="1357"/>
    </row>
    <row r="142" spans="4:7">
      <c r="D142" s="1357"/>
      <c r="E142" s="1357"/>
      <c r="F142" s="1357"/>
      <c r="G142" s="1357"/>
    </row>
    <row r="143" spans="4:7">
      <c r="D143" s="1357"/>
      <c r="E143" s="1357"/>
      <c r="F143" s="1357"/>
      <c r="G143" s="1357"/>
    </row>
    <row r="144" spans="4:7">
      <c r="D144" s="1357"/>
      <c r="E144" s="1357"/>
      <c r="F144" s="1357"/>
      <c r="G144" s="1357"/>
    </row>
    <row r="145" spans="4:7">
      <c r="D145" s="1357"/>
      <c r="E145" s="1357"/>
      <c r="F145" s="1357"/>
      <c r="G145" s="1357"/>
    </row>
    <row r="146" spans="4:7">
      <c r="D146" s="1357"/>
      <c r="E146" s="1357"/>
      <c r="F146" s="1357"/>
      <c r="G146" s="1357"/>
    </row>
    <row r="147" spans="4:7">
      <c r="D147" s="1357"/>
      <c r="E147" s="1357"/>
      <c r="F147" s="1357"/>
      <c r="G147" s="1357"/>
    </row>
    <row r="148" spans="4:7">
      <c r="D148" s="1357"/>
      <c r="E148" s="1357"/>
      <c r="F148" s="1357"/>
      <c r="G148" s="1357"/>
    </row>
    <row r="149" spans="4:7">
      <c r="D149" s="1357"/>
      <c r="E149" s="1357"/>
      <c r="F149" s="1357"/>
      <c r="G149" s="1357"/>
    </row>
    <row r="150" spans="4:7">
      <c r="D150" s="1357"/>
      <c r="E150" s="1357"/>
      <c r="F150" s="1357"/>
      <c r="G150" s="1357"/>
    </row>
    <row r="151" spans="4:7">
      <c r="D151" s="1357"/>
      <c r="E151" s="1357"/>
      <c r="F151" s="1357"/>
      <c r="G151" s="1357"/>
    </row>
    <row r="152" spans="4:7">
      <c r="D152" s="1357"/>
      <c r="E152" s="1357"/>
      <c r="F152" s="1357"/>
      <c r="G152" s="1357"/>
    </row>
    <row r="153" spans="4:7">
      <c r="D153" s="1357"/>
      <c r="E153" s="1357"/>
      <c r="F153" s="1357"/>
      <c r="G153" s="1357"/>
    </row>
    <row r="154" spans="4:7">
      <c r="D154" s="1357"/>
      <c r="E154" s="1357"/>
      <c r="F154" s="1357"/>
      <c r="G154" s="1357"/>
    </row>
    <row r="155" spans="4:7">
      <c r="D155" s="1357"/>
      <c r="E155" s="1357"/>
      <c r="F155" s="1357"/>
      <c r="G155" s="1357"/>
    </row>
    <row r="156" spans="4:7">
      <c r="D156" s="1357"/>
      <c r="E156" s="1357"/>
      <c r="F156" s="1357"/>
      <c r="G156" s="1357"/>
    </row>
    <row r="157" spans="4:7">
      <c r="D157" s="1357"/>
      <c r="E157" s="1357"/>
      <c r="F157" s="1357"/>
      <c r="G157" s="1357"/>
    </row>
    <row r="158" spans="4:7">
      <c r="D158" s="1357"/>
      <c r="E158" s="1357"/>
      <c r="F158" s="1357"/>
      <c r="G158" s="1357"/>
    </row>
    <row r="159" spans="4:7">
      <c r="D159" s="1357"/>
      <c r="E159" s="1357"/>
      <c r="F159" s="1357"/>
      <c r="G159" s="1357"/>
    </row>
    <row r="160" spans="4:7">
      <c r="E160" s="1357"/>
      <c r="F160" s="1357"/>
      <c r="G160" s="1357"/>
    </row>
    <row r="195" spans="2:16" ht="15.6">
      <c r="B195" s="3571" t="str">
        <f>F1</f>
        <v>עירית הרצליה</v>
      </c>
      <c r="C195" s="3572"/>
      <c r="D195" s="3572"/>
      <c r="E195" s="3572"/>
      <c r="F195" s="3572"/>
      <c r="G195" s="3572"/>
      <c r="H195" s="3572"/>
      <c r="I195" s="3572"/>
      <c r="J195" s="3572"/>
      <c r="K195" s="3572"/>
      <c r="L195" s="3572"/>
      <c r="M195" s="3572"/>
      <c r="N195" s="3572"/>
      <c r="O195" s="3572"/>
      <c r="P195" s="3572"/>
    </row>
    <row r="196" spans="2:16" ht="15.6">
      <c r="B196" s="3571" t="str">
        <f>F2</f>
        <v>ניתוח הביצוע של התקציב הרגיל  - תקבולים ותשלומים לפי מקורות הכנסה וסוגי הוצאה</v>
      </c>
      <c r="C196" s="3572"/>
      <c r="D196" s="3572"/>
      <c r="E196" s="3572"/>
      <c r="F196" s="3572"/>
      <c r="G196" s="3572"/>
      <c r="H196" s="3572"/>
      <c r="I196" s="3572"/>
      <c r="J196" s="3572"/>
      <c r="K196" s="3572"/>
      <c r="L196" s="3572"/>
      <c r="M196" s="3572"/>
      <c r="N196" s="3572"/>
      <c r="O196" s="3572"/>
      <c r="P196" s="3572"/>
    </row>
    <row r="197" spans="2:16" ht="15.6">
      <c r="B197" s="3571" t="str">
        <f>F3</f>
        <v xml:space="preserve">לשנת הכספים 2015 (אלפי ש''ח) </v>
      </c>
      <c r="C197" s="3572"/>
      <c r="D197" s="3572"/>
      <c r="E197" s="3572"/>
      <c r="F197" s="3572"/>
      <c r="G197" s="3572"/>
      <c r="H197" s="3572"/>
      <c r="I197" s="3572"/>
      <c r="J197" s="3572"/>
      <c r="K197" s="3572"/>
      <c r="L197" s="3572"/>
      <c r="M197" s="3572"/>
      <c r="N197" s="3572"/>
      <c r="O197" s="3572"/>
      <c r="P197" s="3572"/>
    </row>
    <row r="200" spans="2:16" ht="9" customHeight="1"/>
    <row r="201" spans="2:16" ht="12.75" customHeight="1">
      <c r="B201" s="1362">
        <f t="shared" ref="B201:K201" si="3">B5</f>
        <v>0</v>
      </c>
      <c r="C201" s="1363" t="str">
        <f t="shared" si="3"/>
        <v>חלק א' - תקבולים ותשלומים כללי</v>
      </c>
      <c r="D201" s="1363" t="str">
        <f t="shared" si="3"/>
        <v>תקציב מקורי</v>
      </c>
      <c r="E201" s="1363">
        <f t="shared" si="3"/>
        <v>0</v>
      </c>
      <c r="F201" s="1363" t="str">
        <f t="shared" si="3"/>
        <v>שינויים</v>
      </c>
      <c r="G201" s="1363">
        <f t="shared" si="3"/>
        <v>0</v>
      </c>
      <c r="H201" s="1364" t="str">
        <f t="shared" si="3"/>
        <v>התקציב</v>
      </c>
      <c r="I201" s="1363">
        <f t="shared" si="3"/>
        <v>0</v>
      </c>
      <c r="J201" s="1363" t="str">
        <f t="shared" si="3"/>
        <v>הביצוע</v>
      </c>
      <c r="K201" s="1363">
        <f t="shared" si="3"/>
        <v>0</v>
      </c>
      <c r="L201" s="1365" t="s">
        <v>907</v>
      </c>
      <c r="M201" s="1366" t="s">
        <v>908</v>
      </c>
      <c r="N201" s="1366"/>
      <c r="O201" s="1363">
        <f t="shared" ref="O201:P209" si="4">O5</f>
        <v>0</v>
      </c>
      <c r="P201" s="1367" t="str">
        <f t="shared" si="4"/>
        <v>הביצוע</v>
      </c>
    </row>
    <row r="202" spans="2:16">
      <c r="B202" s="1368">
        <f t="shared" ref="B202:B212" si="5">B6</f>
        <v>0</v>
      </c>
      <c r="C202" s="347"/>
      <c r="D202" s="347"/>
      <c r="E202" s="1369">
        <f t="shared" ref="E202:E226" si="6">E6</f>
        <v>0</v>
      </c>
      <c r="F202" s="347"/>
      <c r="G202" s="1369">
        <f t="shared" ref="G202:G226" si="7">G6</f>
        <v>0</v>
      </c>
      <c r="H202" s="347"/>
      <c r="I202" s="1369">
        <f t="shared" ref="I202:I226" si="8">I6</f>
        <v>0</v>
      </c>
      <c r="J202" s="347"/>
      <c r="K202" s="1369">
        <f t="shared" ref="K202:N208" si="9">K6</f>
        <v>0</v>
      </c>
      <c r="L202" s="1369" t="str">
        <f t="shared" si="9"/>
        <v>מתחת</v>
      </c>
      <c r="M202" s="1369">
        <f t="shared" si="9"/>
        <v>0</v>
      </c>
      <c r="N202" s="1369" t="str">
        <f t="shared" si="9"/>
        <v>מעל</v>
      </c>
      <c r="O202" s="1369">
        <f t="shared" si="4"/>
        <v>0</v>
      </c>
      <c r="P202" s="1370">
        <f t="shared" si="4"/>
        <v>2014</v>
      </c>
    </row>
    <row r="203" spans="2:16">
      <c r="B203" s="1362">
        <f t="shared" si="5"/>
        <v>0</v>
      </c>
      <c r="C203" s="1371">
        <f>C7</f>
        <v>0</v>
      </c>
      <c r="D203" s="1372">
        <f>D7</f>
        <v>0</v>
      </c>
      <c r="E203" s="1372">
        <f t="shared" si="6"/>
        <v>0</v>
      </c>
      <c r="F203" s="1372">
        <f t="shared" ref="F203:F209" si="10">F7</f>
        <v>0</v>
      </c>
      <c r="G203" s="1372">
        <f t="shared" si="7"/>
        <v>0</v>
      </c>
      <c r="H203" s="1373">
        <f t="shared" ref="H203:H209" si="11">H7</f>
        <v>0</v>
      </c>
      <c r="I203" s="1372">
        <f t="shared" si="8"/>
        <v>0</v>
      </c>
      <c r="J203" s="1372">
        <f t="shared" ref="J203:J208" si="12">J7</f>
        <v>0</v>
      </c>
      <c r="K203" s="1372">
        <f t="shared" si="9"/>
        <v>0</v>
      </c>
      <c r="L203" s="1372">
        <f t="shared" si="9"/>
        <v>0</v>
      </c>
      <c r="M203" s="1372">
        <f t="shared" si="9"/>
        <v>0</v>
      </c>
      <c r="N203" s="1372">
        <f t="shared" si="9"/>
        <v>0</v>
      </c>
      <c r="O203" s="1372">
        <f t="shared" si="4"/>
        <v>0</v>
      </c>
      <c r="P203" s="1374">
        <f t="shared" si="4"/>
        <v>0</v>
      </c>
    </row>
    <row r="204" spans="2:16">
      <c r="B204" s="1375">
        <f t="shared" si="5"/>
        <v>0</v>
      </c>
      <c r="C204" s="800" t="str">
        <f>IF(AND($D8=0,$F8=0,$H8=0,$J8=0,$L8=0,$N8=0,$P8=0),"",$C8)</f>
        <v>הכנסות</v>
      </c>
      <c r="D204" s="1376">
        <f t="shared" ref="D204:D209" si="13">D8</f>
        <v>826550</v>
      </c>
      <c r="E204" s="1376">
        <f t="shared" si="6"/>
        <v>0</v>
      </c>
      <c r="F204" s="1376">
        <f t="shared" si="10"/>
        <v>9675</v>
      </c>
      <c r="G204" s="1376">
        <f t="shared" si="7"/>
        <v>0</v>
      </c>
      <c r="H204" s="330">
        <f t="shared" si="11"/>
        <v>836225</v>
      </c>
      <c r="I204" s="1376">
        <f t="shared" si="8"/>
        <v>0</v>
      </c>
      <c r="J204" s="1376">
        <f t="shared" si="12"/>
        <v>853785</v>
      </c>
      <c r="K204" s="1376">
        <f t="shared" si="9"/>
        <v>0</v>
      </c>
      <c r="L204" s="1376">
        <f t="shared" si="9"/>
        <v>0</v>
      </c>
      <c r="M204" s="1376">
        <f t="shared" si="9"/>
        <v>0</v>
      </c>
      <c r="N204" s="1376">
        <f t="shared" si="9"/>
        <v>17560</v>
      </c>
      <c r="O204" s="1376">
        <f t="shared" si="4"/>
        <v>0</v>
      </c>
      <c r="P204" s="1377">
        <f t="shared" si="4"/>
        <v>795695</v>
      </c>
    </row>
    <row r="205" spans="2:16">
      <c r="B205" s="1375">
        <f t="shared" si="5"/>
        <v>0</v>
      </c>
      <c r="C205" s="800" t="str">
        <f>IF(AND($D9=0,$F9=0,$H9=0,$J9=0,$L9=0,$N9=0,$P9=0),"",$C9)</f>
        <v>הוצאות</v>
      </c>
      <c r="D205" s="1376">
        <f t="shared" si="13"/>
        <v>826550</v>
      </c>
      <c r="E205" s="1376">
        <f t="shared" si="6"/>
        <v>0</v>
      </c>
      <c r="F205" s="1376">
        <f t="shared" si="10"/>
        <v>9675</v>
      </c>
      <c r="G205" s="1376">
        <f t="shared" si="7"/>
        <v>0</v>
      </c>
      <c r="H205" s="339">
        <f t="shared" si="11"/>
        <v>836225</v>
      </c>
      <c r="I205" s="1376">
        <f t="shared" si="8"/>
        <v>0</v>
      </c>
      <c r="J205" s="1376">
        <f t="shared" si="12"/>
        <v>836268</v>
      </c>
      <c r="K205" s="1376">
        <f t="shared" si="9"/>
        <v>0</v>
      </c>
      <c r="L205" s="1376">
        <f t="shared" si="9"/>
        <v>0</v>
      </c>
      <c r="M205" s="1376">
        <f t="shared" si="9"/>
        <v>0</v>
      </c>
      <c r="N205" s="1376">
        <f t="shared" si="9"/>
        <v>-43</v>
      </c>
      <c r="O205" s="1376">
        <f t="shared" si="4"/>
        <v>0</v>
      </c>
      <c r="P205" s="1378">
        <f t="shared" si="4"/>
        <v>785053</v>
      </c>
    </row>
    <row r="206" spans="2:16" ht="13.8" thickBot="1">
      <c r="B206" s="1375">
        <f t="shared" si="5"/>
        <v>0</v>
      </c>
      <c r="C206" s="800" t="str">
        <f>IF(AND($D10=0,$F10=0,$H10=0,$J10=0,$L10=0,$N10=0,$P10=0),"",$C10)</f>
        <v>עודף בשנת הדוח</v>
      </c>
      <c r="D206" s="2800">
        <f t="shared" si="13"/>
        <v>0</v>
      </c>
      <c r="E206" s="1376">
        <f t="shared" si="6"/>
        <v>0</v>
      </c>
      <c r="F206" s="2800">
        <f t="shared" si="10"/>
        <v>0</v>
      </c>
      <c r="G206" s="1376">
        <f t="shared" si="7"/>
        <v>0</v>
      </c>
      <c r="H206" s="2801">
        <f t="shared" si="11"/>
        <v>0</v>
      </c>
      <c r="I206" s="1376">
        <f t="shared" si="8"/>
        <v>0</v>
      </c>
      <c r="J206" s="2800">
        <f t="shared" si="12"/>
        <v>17517</v>
      </c>
      <c r="K206" s="1376">
        <f t="shared" si="9"/>
        <v>0</v>
      </c>
      <c r="L206" s="2800">
        <f t="shared" si="9"/>
        <v>0</v>
      </c>
      <c r="M206" s="1376">
        <f t="shared" si="9"/>
        <v>0</v>
      </c>
      <c r="N206" s="2800">
        <f t="shared" si="9"/>
        <v>17517</v>
      </c>
      <c r="O206" s="1376">
        <f t="shared" si="4"/>
        <v>0</v>
      </c>
      <c r="P206" s="2802">
        <f t="shared" si="4"/>
        <v>10642</v>
      </c>
    </row>
    <row r="207" spans="2:16" ht="13.8" thickTop="1">
      <c r="B207" s="1368">
        <f t="shared" si="5"/>
        <v>0</v>
      </c>
      <c r="C207" s="1379">
        <f>C11</f>
        <v>0</v>
      </c>
      <c r="D207" s="1380">
        <f t="shared" si="13"/>
        <v>0</v>
      </c>
      <c r="E207" s="1380">
        <f t="shared" si="6"/>
        <v>0</v>
      </c>
      <c r="F207" s="1380">
        <f t="shared" si="10"/>
        <v>0</v>
      </c>
      <c r="G207" s="1380">
        <f t="shared" si="7"/>
        <v>0</v>
      </c>
      <c r="H207" s="1381">
        <f t="shared" si="11"/>
        <v>0</v>
      </c>
      <c r="I207" s="1380">
        <f t="shared" si="8"/>
        <v>0</v>
      </c>
      <c r="J207" s="1380">
        <f t="shared" si="12"/>
        <v>0</v>
      </c>
      <c r="K207" s="1380">
        <f t="shared" si="9"/>
        <v>0</v>
      </c>
      <c r="L207" s="1380">
        <f t="shared" si="9"/>
        <v>0</v>
      </c>
      <c r="M207" s="1380">
        <f t="shared" si="9"/>
        <v>0</v>
      </c>
      <c r="N207" s="1380">
        <f t="shared" si="9"/>
        <v>0</v>
      </c>
      <c r="O207" s="1380">
        <f t="shared" si="4"/>
        <v>0</v>
      </c>
      <c r="P207" s="1382">
        <f t="shared" si="4"/>
        <v>0</v>
      </c>
    </row>
    <row r="208" spans="2:16" ht="28.5" customHeight="1">
      <c r="B208" s="1383">
        <f t="shared" si="5"/>
        <v>0</v>
      </c>
      <c r="C208" s="1383">
        <f>C12</f>
        <v>0</v>
      </c>
      <c r="D208" s="1383">
        <f t="shared" si="13"/>
        <v>0</v>
      </c>
      <c r="E208" s="1383">
        <f t="shared" si="6"/>
        <v>0</v>
      </c>
      <c r="F208" s="1383">
        <f t="shared" si="10"/>
        <v>0</v>
      </c>
      <c r="G208" s="1383">
        <f t="shared" si="7"/>
        <v>0</v>
      </c>
      <c r="H208" s="1384">
        <f t="shared" si="11"/>
        <v>0</v>
      </c>
      <c r="I208" s="1383">
        <f t="shared" si="8"/>
        <v>0</v>
      </c>
      <c r="J208" s="1383">
        <f t="shared" si="12"/>
        <v>0</v>
      </c>
      <c r="K208" s="1383">
        <f t="shared" si="9"/>
        <v>0</v>
      </c>
      <c r="L208" s="1383">
        <f t="shared" si="9"/>
        <v>0</v>
      </c>
      <c r="M208" s="1383">
        <f t="shared" si="9"/>
        <v>0</v>
      </c>
      <c r="N208" s="1383">
        <f t="shared" si="9"/>
        <v>0</v>
      </c>
      <c r="O208" s="1383">
        <f t="shared" si="4"/>
        <v>0</v>
      </c>
      <c r="P208" s="1383">
        <f t="shared" si="4"/>
        <v>0</v>
      </c>
    </row>
    <row r="209" spans="2:16">
      <c r="B209" s="1362">
        <f t="shared" si="5"/>
        <v>0</v>
      </c>
      <c r="C209" s="1363" t="str">
        <f>C13</f>
        <v>חלק ב' - הכנסות לפי מקורות</v>
      </c>
      <c r="D209" s="1363" t="str">
        <f t="shared" si="13"/>
        <v>התקציב</v>
      </c>
      <c r="E209" s="1363">
        <f t="shared" si="6"/>
        <v>0</v>
      </c>
      <c r="F209" s="1364" t="str">
        <f t="shared" si="10"/>
        <v>הביצוע</v>
      </c>
      <c r="G209" s="1363">
        <f t="shared" si="7"/>
        <v>0</v>
      </c>
      <c r="H209" s="1363" t="str">
        <f t="shared" si="11"/>
        <v>% מסה"כ</v>
      </c>
      <c r="I209" s="1363">
        <f t="shared" si="8"/>
        <v>0</v>
      </c>
      <c r="J209" s="1365" t="s">
        <v>907</v>
      </c>
      <c r="K209" s="1366" t="s">
        <v>908</v>
      </c>
      <c r="L209" s="1366"/>
      <c r="M209" s="1385">
        <f t="shared" ref="M209:N222" si="14">M13</f>
        <v>0</v>
      </c>
      <c r="N209" s="1363" t="str">
        <f t="shared" si="14"/>
        <v>הביצוע</v>
      </c>
      <c r="O209" s="1363" t="str">
        <f t="shared" si="4"/>
        <v>*</v>
      </c>
      <c r="P209" s="1367" t="str">
        <f t="shared" si="4"/>
        <v>% מסה"כ</v>
      </c>
    </row>
    <row r="210" spans="2:16">
      <c r="B210" s="1368">
        <f t="shared" si="5"/>
        <v>0</v>
      </c>
      <c r="C210" s="347"/>
      <c r="D210" s="347"/>
      <c r="E210" s="1369">
        <f t="shared" si="6"/>
        <v>0</v>
      </c>
      <c r="F210" s="347"/>
      <c r="G210" s="1369">
        <f t="shared" si="7"/>
        <v>0</v>
      </c>
      <c r="H210" s="347"/>
      <c r="I210" s="1369">
        <f t="shared" si="8"/>
        <v>0</v>
      </c>
      <c r="J210" s="1369" t="str">
        <f t="shared" ref="J210:L222" si="15">J14</f>
        <v>מתחת</v>
      </c>
      <c r="K210" s="1369">
        <f t="shared" si="15"/>
        <v>0</v>
      </c>
      <c r="L210" s="1369" t="str">
        <f t="shared" si="15"/>
        <v>מעל</v>
      </c>
      <c r="M210" s="1369">
        <f t="shared" si="14"/>
        <v>0</v>
      </c>
      <c r="N210" s="1369">
        <f t="shared" si="14"/>
        <v>2014</v>
      </c>
      <c r="O210" s="1369">
        <f t="shared" ref="O210:O226" si="16">O14</f>
        <v>0</v>
      </c>
      <c r="P210" s="316"/>
    </row>
    <row r="211" spans="2:16">
      <c r="B211" s="1362">
        <f t="shared" si="5"/>
        <v>0</v>
      </c>
      <c r="C211" s="1371">
        <f>C15</f>
        <v>0</v>
      </c>
      <c r="D211" s="1386">
        <f>D15</f>
        <v>0</v>
      </c>
      <c r="E211" s="1386">
        <f t="shared" si="6"/>
        <v>0</v>
      </c>
      <c r="F211" s="1373">
        <f t="shared" ref="F211:F226" si="17">F15</f>
        <v>0</v>
      </c>
      <c r="G211" s="1386">
        <f t="shared" si="7"/>
        <v>0</v>
      </c>
      <c r="H211" s="1386">
        <f t="shared" ref="H211:H226" si="18">H15</f>
        <v>0</v>
      </c>
      <c r="I211" s="1386">
        <f t="shared" si="8"/>
        <v>0</v>
      </c>
      <c r="J211" s="1386">
        <f t="shared" si="15"/>
        <v>0</v>
      </c>
      <c r="K211" s="1386">
        <f t="shared" si="15"/>
        <v>0</v>
      </c>
      <c r="L211" s="1386">
        <f t="shared" si="15"/>
        <v>0</v>
      </c>
      <c r="M211" s="1386">
        <f t="shared" si="14"/>
        <v>0</v>
      </c>
      <c r="N211" s="1386">
        <f t="shared" si="14"/>
        <v>0</v>
      </c>
      <c r="O211" s="1386">
        <f t="shared" si="16"/>
        <v>0</v>
      </c>
      <c r="P211" s="1387">
        <f t="shared" ref="P211:P226" si="19">P15</f>
        <v>0</v>
      </c>
    </row>
    <row r="212" spans="2:16">
      <c r="B212" s="1388">
        <f t="shared" si="5"/>
        <v>1</v>
      </c>
      <c r="C212" s="1389" t="str">
        <f>C16</f>
        <v>הכנסה עצמית</v>
      </c>
      <c r="D212" s="1390">
        <f>D16</f>
        <v>0</v>
      </c>
      <c r="E212" s="1390">
        <f t="shared" si="6"/>
        <v>0</v>
      </c>
      <c r="F212" s="1391">
        <f t="shared" si="17"/>
        <v>0</v>
      </c>
      <c r="G212" s="1390">
        <f t="shared" si="7"/>
        <v>0</v>
      </c>
      <c r="H212" s="1390">
        <f t="shared" si="18"/>
        <v>0</v>
      </c>
      <c r="I212" s="800">
        <f t="shared" si="8"/>
        <v>0</v>
      </c>
      <c r="J212" s="1390">
        <f t="shared" si="15"/>
        <v>0</v>
      </c>
      <c r="K212" s="1390">
        <f t="shared" si="15"/>
        <v>0</v>
      </c>
      <c r="L212" s="1390">
        <f t="shared" si="15"/>
        <v>0</v>
      </c>
      <c r="M212" s="800">
        <f t="shared" si="14"/>
        <v>0</v>
      </c>
      <c r="N212" s="1390">
        <f t="shared" si="14"/>
        <v>0</v>
      </c>
      <c r="O212" s="800">
        <f t="shared" si="16"/>
        <v>0</v>
      </c>
      <c r="P212" s="1392">
        <f t="shared" si="19"/>
        <v>0</v>
      </c>
    </row>
    <row r="213" spans="2:16">
      <c r="B213" s="1393">
        <f>IF(AND($D17=0,$F17=0,$H17=0,$J17=0,$L17=0,$N17=0,$P17=0),"",$B17)</f>
        <v>1.1000000000000001</v>
      </c>
      <c r="C213" s="1394" t="str">
        <f>IF(AND($D17=0,$F17=0,$H17=0,$J17=0,$L17=0,$N17=0,$P17=0),"",$C17)</f>
        <v>גביה ישירה</v>
      </c>
      <c r="D213" s="1395">
        <f t="shared" ref="D213:D226" si="20">D17</f>
        <v>581822</v>
      </c>
      <c r="E213" s="1395">
        <f t="shared" si="6"/>
        <v>0</v>
      </c>
      <c r="F213" s="1395">
        <f t="shared" si="17"/>
        <v>616836</v>
      </c>
      <c r="G213" s="1395">
        <f t="shared" si="7"/>
        <v>0</v>
      </c>
      <c r="H213" s="1396">
        <f t="shared" si="18"/>
        <v>0.72250000000000003</v>
      </c>
      <c r="I213" s="1395">
        <f t="shared" si="8"/>
        <v>0</v>
      </c>
      <c r="J213" s="1395">
        <f t="shared" si="15"/>
        <v>0</v>
      </c>
      <c r="K213" s="1395">
        <f t="shared" si="15"/>
        <v>0</v>
      </c>
      <c r="L213" s="1395">
        <f t="shared" si="15"/>
        <v>35014</v>
      </c>
      <c r="M213" s="1395">
        <f t="shared" si="14"/>
        <v>0</v>
      </c>
      <c r="N213" s="1395">
        <f t="shared" si="14"/>
        <v>562711</v>
      </c>
      <c r="O213" s="800">
        <f t="shared" si="16"/>
        <v>0</v>
      </c>
      <c r="P213" s="1397">
        <f t="shared" si="19"/>
        <v>0.70720000000000005</v>
      </c>
    </row>
    <row r="214" spans="2:16">
      <c r="B214" s="1393">
        <f>IF(AND($D18=0,$F18=0,$H18=0,$J18=0,$L18=0,$N18=0,$P18=0),"",$B18)</f>
        <v>1.2</v>
      </c>
      <c r="C214" s="1394" t="str">
        <f>IF(AND($D18=0,$F18=0,$H18=0,$J18=0,$L18=0,$N18=0,$P18=0),"",$C18)</f>
        <v>הכנסות מריבית, שונות ובלתי רגילות</v>
      </c>
      <c r="D214" s="1395">
        <f t="shared" si="20"/>
        <v>19044</v>
      </c>
      <c r="E214" s="1395">
        <f t="shared" si="6"/>
        <v>0</v>
      </c>
      <c r="F214" s="1395">
        <f t="shared" si="17"/>
        <v>15407</v>
      </c>
      <c r="G214" s="1395">
        <f t="shared" si="7"/>
        <v>0</v>
      </c>
      <c r="H214" s="1396">
        <f t="shared" si="18"/>
        <v>1.7999999999999999E-2</v>
      </c>
      <c r="I214" s="1395">
        <f t="shared" si="8"/>
        <v>0</v>
      </c>
      <c r="J214" s="1395">
        <f t="shared" si="15"/>
        <v>3637</v>
      </c>
      <c r="K214" s="1395">
        <f t="shared" si="15"/>
        <v>0</v>
      </c>
      <c r="L214" s="1395">
        <f t="shared" si="15"/>
        <v>0</v>
      </c>
      <c r="M214" s="1395">
        <f t="shared" si="14"/>
        <v>0</v>
      </c>
      <c r="N214" s="1395">
        <f t="shared" si="14"/>
        <v>12845</v>
      </c>
      <c r="O214" s="800">
        <f t="shared" si="16"/>
        <v>0</v>
      </c>
      <c r="P214" s="1397">
        <f t="shared" si="19"/>
        <v>1.61E-2</v>
      </c>
    </row>
    <row r="215" spans="2:16">
      <c r="B215" s="1393">
        <f>IF(AND($D19=0,$F19=0,$H19=0,$J19=0,$L19=0,$N19=0,$P19=0),"",$B19)</f>
        <v>1.3</v>
      </c>
      <c r="C215" s="1394" t="str">
        <f>IF(AND($C19&lt;&gt;"(***)",OR($D19&lt;&gt;0,$F19&lt;&gt;0,$H19&lt;&gt;0,$J19&lt;&gt;0,$L19&lt;&gt;0,$N19&lt;&gt;0,$P19&lt;&gt;0)),$C19,"")</f>
        <v>העברה מקרנות פיתוח</v>
      </c>
      <c r="D215" s="1398">
        <f t="shared" si="20"/>
        <v>41445</v>
      </c>
      <c r="E215" s="1395">
        <f t="shared" si="6"/>
        <v>0</v>
      </c>
      <c r="F215" s="1398">
        <f t="shared" si="17"/>
        <v>30392</v>
      </c>
      <c r="G215" s="1395">
        <f t="shared" si="7"/>
        <v>0</v>
      </c>
      <c r="H215" s="1396">
        <f t="shared" si="18"/>
        <v>3.56E-2</v>
      </c>
      <c r="I215" s="1395">
        <f t="shared" si="8"/>
        <v>0</v>
      </c>
      <c r="J215" s="1398">
        <f t="shared" si="15"/>
        <v>11053</v>
      </c>
      <c r="K215" s="1395">
        <f t="shared" si="15"/>
        <v>0</v>
      </c>
      <c r="L215" s="1398">
        <f t="shared" si="15"/>
        <v>0</v>
      </c>
      <c r="M215" s="1395">
        <f t="shared" si="14"/>
        <v>0</v>
      </c>
      <c r="N215" s="1398">
        <f t="shared" si="14"/>
        <v>38163</v>
      </c>
      <c r="O215" s="800">
        <f t="shared" si="16"/>
        <v>0</v>
      </c>
      <c r="P215" s="1397">
        <f t="shared" si="19"/>
        <v>4.8000000000000001E-2</v>
      </c>
    </row>
    <row r="216" spans="2:16">
      <c r="B216" s="1399">
        <f>B20</f>
        <v>0</v>
      </c>
      <c r="C216" s="1394">
        <f>C20</f>
        <v>0</v>
      </c>
      <c r="D216" s="1400">
        <f t="shared" si="20"/>
        <v>642311</v>
      </c>
      <c r="E216" s="1395">
        <f t="shared" si="6"/>
        <v>0</v>
      </c>
      <c r="F216" s="1400">
        <f t="shared" si="17"/>
        <v>662635</v>
      </c>
      <c r="G216" s="1395">
        <f t="shared" si="7"/>
        <v>0</v>
      </c>
      <c r="H216" s="1401">
        <f t="shared" si="18"/>
        <v>0.77610000000000001</v>
      </c>
      <c r="I216" s="1395">
        <f t="shared" si="8"/>
        <v>0</v>
      </c>
      <c r="J216" s="1400">
        <f t="shared" si="15"/>
        <v>14690</v>
      </c>
      <c r="K216" s="1395">
        <f t="shared" si="15"/>
        <v>0</v>
      </c>
      <c r="L216" s="1400">
        <f t="shared" si="15"/>
        <v>35014</v>
      </c>
      <c r="M216" s="1395">
        <f t="shared" si="14"/>
        <v>0</v>
      </c>
      <c r="N216" s="1400">
        <f t="shared" si="14"/>
        <v>613719</v>
      </c>
      <c r="O216" s="800">
        <f t="shared" si="16"/>
        <v>0</v>
      </c>
      <c r="P216" s="1402">
        <f t="shared" si="19"/>
        <v>0.77129999999999999</v>
      </c>
    </row>
    <row r="217" spans="2:16">
      <c r="B217" s="1388">
        <f>B21</f>
        <v>2</v>
      </c>
      <c r="C217" s="1389" t="str">
        <f>C21</f>
        <v>הכנסות מהממשלה</v>
      </c>
      <c r="D217" s="1403">
        <f t="shared" si="20"/>
        <v>0</v>
      </c>
      <c r="E217" s="1395">
        <f t="shared" si="6"/>
        <v>0</v>
      </c>
      <c r="F217" s="1395">
        <f t="shared" si="17"/>
        <v>0</v>
      </c>
      <c r="G217" s="1395">
        <f t="shared" si="7"/>
        <v>0</v>
      </c>
      <c r="H217" s="1395">
        <f t="shared" si="18"/>
        <v>0</v>
      </c>
      <c r="I217" s="1395">
        <f t="shared" si="8"/>
        <v>0</v>
      </c>
      <c r="J217" s="1403">
        <f t="shared" si="15"/>
        <v>0</v>
      </c>
      <c r="K217" s="1395">
        <f t="shared" si="15"/>
        <v>0</v>
      </c>
      <c r="L217" s="1403">
        <f t="shared" si="15"/>
        <v>0</v>
      </c>
      <c r="M217" s="1395">
        <f t="shared" si="14"/>
        <v>0</v>
      </c>
      <c r="N217" s="1403">
        <f t="shared" si="14"/>
        <v>0</v>
      </c>
      <c r="O217" s="800">
        <f t="shared" si="16"/>
        <v>0</v>
      </c>
      <c r="P217" s="1397">
        <f t="shared" si="19"/>
        <v>0</v>
      </c>
    </row>
    <row r="218" spans="2:16">
      <c r="B218" s="1393">
        <f t="shared" ref="B218:B223" si="21">IF(AND($D22=0,$F22=0,$H22=0,$J22=0,$L22=0,$N22=0,$P22=0),"",$B22)</f>
        <v>2.1</v>
      </c>
      <c r="C218" s="1394" t="str">
        <f>IF(AND($D22=0,$F22=0,$H22=0,$J22=0,$L22=0,$N22=0,$P22=0),"",$C22)</f>
        <v>השתתפות משרדי ממשלה</v>
      </c>
      <c r="D218" s="1395">
        <f t="shared" si="20"/>
        <v>192428</v>
      </c>
      <c r="E218" s="1395">
        <f t="shared" si="6"/>
        <v>0</v>
      </c>
      <c r="F218" s="1395">
        <f t="shared" si="17"/>
        <v>189826</v>
      </c>
      <c r="G218" s="1395">
        <f t="shared" si="7"/>
        <v>0</v>
      </c>
      <c r="H218" s="1396">
        <f t="shared" si="18"/>
        <v>0.2223</v>
      </c>
      <c r="I218" s="1395">
        <f t="shared" si="8"/>
        <v>0</v>
      </c>
      <c r="J218" s="1395">
        <f t="shared" si="15"/>
        <v>2602</v>
      </c>
      <c r="K218" s="1395">
        <f t="shared" si="15"/>
        <v>0</v>
      </c>
      <c r="L218" s="1395">
        <f t="shared" si="15"/>
        <v>0</v>
      </c>
      <c r="M218" s="1395">
        <f t="shared" si="14"/>
        <v>0</v>
      </c>
      <c r="N218" s="1395">
        <f t="shared" si="14"/>
        <v>181649</v>
      </c>
      <c r="O218" s="800">
        <f t="shared" si="16"/>
        <v>0</v>
      </c>
      <c r="P218" s="1397">
        <f t="shared" si="19"/>
        <v>0.2283</v>
      </c>
    </row>
    <row r="219" spans="2:16">
      <c r="B219" s="1393" t="str">
        <f t="shared" si="21"/>
        <v/>
      </c>
      <c r="C219" s="1394" t="str">
        <f>IF(AND($D23=0,$F23=0,$H23=0,$J23=0,$L23=0,$N23=0,$P23=0),"",$C23)</f>
        <v/>
      </c>
      <c r="D219" s="1395">
        <f t="shared" si="20"/>
        <v>0</v>
      </c>
      <c r="E219" s="1395">
        <f t="shared" si="6"/>
        <v>0</v>
      </c>
      <c r="F219" s="1395">
        <f t="shared" si="17"/>
        <v>0</v>
      </c>
      <c r="G219" s="1395">
        <f t="shared" si="7"/>
        <v>0</v>
      </c>
      <c r="H219" s="1396">
        <f t="shared" si="18"/>
        <v>0</v>
      </c>
      <c r="I219" s="1395">
        <f t="shared" si="8"/>
        <v>0</v>
      </c>
      <c r="J219" s="1395">
        <f t="shared" si="15"/>
        <v>0</v>
      </c>
      <c r="K219" s="1395">
        <f t="shared" si="15"/>
        <v>0</v>
      </c>
      <c r="L219" s="1395">
        <f t="shared" si="15"/>
        <v>0</v>
      </c>
      <c r="M219" s="1395">
        <f t="shared" si="14"/>
        <v>0</v>
      </c>
      <c r="N219" s="1395">
        <f t="shared" si="14"/>
        <v>0</v>
      </c>
      <c r="O219" s="800">
        <f t="shared" si="16"/>
        <v>0</v>
      </c>
      <c r="P219" s="1397">
        <f t="shared" si="19"/>
        <v>0</v>
      </c>
    </row>
    <row r="220" spans="2:16">
      <c r="B220" s="1393" t="str">
        <f t="shared" si="21"/>
        <v/>
      </c>
      <c r="C220" s="1394" t="str">
        <f>IF(AND($D24=0,$F24=0,$H24=0,$J24=0,$L24=0,$N24=0,$P24=0),"",$C24)</f>
        <v/>
      </c>
      <c r="D220" s="1395">
        <f t="shared" si="20"/>
        <v>0</v>
      </c>
      <c r="E220" s="1395">
        <f t="shared" si="6"/>
        <v>0</v>
      </c>
      <c r="F220" s="1395">
        <f t="shared" si="17"/>
        <v>0</v>
      </c>
      <c r="G220" s="1395">
        <f t="shared" si="7"/>
        <v>0</v>
      </c>
      <c r="H220" s="1396">
        <f t="shared" si="18"/>
        <v>0</v>
      </c>
      <c r="I220" s="1395">
        <f t="shared" si="8"/>
        <v>0</v>
      </c>
      <c r="J220" s="1395">
        <f t="shared" si="15"/>
        <v>0</v>
      </c>
      <c r="K220" s="1395">
        <f t="shared" si="15"/>
        <v>0</v>
      </c>
      <c r="L220" s="1395">
        <f t="shared" si="15"/>
        <v>0</v>
      </c>
      <c r="M220" s="1395">
        <f t="shared" si="14"/>
        <v>0</v>
      </c>
      <c r="N220" s="1395">
        <f t="shared" si="14"/>
        <v>0</v>
      </c>
      <c r="O220" s="800">
        <f t="shared" si="16"/>
        <v>0</v>
      </c>
      <c r="P220" s="1397">
        <f t="shared" si="19"/>
        <v>0</v>
      </c>
    </row>
    <row r="221" spans="2:16">
      <c r="B221" s="1393" t="str">
        <f t="shared" si="21"/>
        <v/>
      </c>
      <c r="C221" s="1394" t="str">
        <f>IF(AND($D25=0,$F25=0,$H25=0,$J25=0,$L25=0,$N25=0,$P25=0),"",$C25)</f>
        <v/>
      </c>
      <c r="D221" s="1395">
        <f t="shared" si="20"/>
        <v>0</v>
      </c>
      <c r="E221" s="1395">
        <f t="shared" si="6"/>
        <v>0</v>
      </c>
      <c r="F221" s="1395">
        <f t="shared" si="17"/>
        <v>0</v>
      </c>
      <c r="G221" s="1395">
        <f t="shared" si="7"/>
        <v>0</v>
      </c>
      <c r="H221" s="1396">
        <f t="shared" si="18"/>
        <v>0</v>
      </c>
      <c r="I221" s="1395">
        <f t="shared" si="8"/>
        <v>0</v>
      </c>
      <c r="J221" s="1395">
        <f t="shared" si="15"/>
        <v>0</v>
      </c>
      <c r="K221" s="1395">
        <f t="shared" si="15"/>
        <v>0</v>
      </c>
      <c r="L221" s="1395">
        <f t="shared" si="15"/>
        <v>0</v>
      </c>
      <c r="M221" s="1395">
        <f t="shared" si="14"/>
        <v>0</v>
      </c>
      <c r="N221" s="1395">
        <f t="shared" si="14"/>
        <v>0</v>
      </c>
      <c r="O221" s="800">
        <f t="shared" si="16"/>
        <v>0</v>
      </c>
      <c r="P221" s="1397">
        <f t="shared" si="19"/>
        <v>0</v>
      </c>
    </row>
    <row r="222" spans="2:16">
      <c r="B222" s="1393" t="str">
        <f t="shared" si="21"/>
        <v/>
      </c>
      <c r="C222" s="1394" t="str">
        <f>IF(AND($D26=0,$F26=0,$H26=0,$J26=0,$L26=0,$N26=0,$P26=0),"",$C26)</f>
        <v/>
      </c>
      <c r="D222" s="1395">
        <f t="shared" si="20"/>
        <v>0</v>
      </c>
      <c r="E222" s="1395">
        <f t="shared" si="6"/>
        <v>0</v>
      </c>
      <c r="F222" s="1395">
        <f t="shared" si="17"/>
        <v>0</v>
      </c>
      <c r="G222" s="1395">
        <f t="shared" si="7"/>
        <v>0</v>
      </c>
      <c r="H222" s="1396">
        <f t="shared" si="18"/>
        <v>0</v>
      </c>
      <c r="I222" s="1395">
        <f t="shared" si="8"/>
        <v>0</v>
      </c>
      <c r="J222" s="1395">
        <f t="shared" si="15"/>
        <v>0</v>
      </c>
      <c r="K222" s="1395">
        <f t="shared" si="15"/>
        <v>0</v>
      </c>
      <c r="L222" s="1395">
        <f t="shared" si="15"/>
        <v>0</v>
      </c>
      <c r="M222" s="1395">
        <f t="shared" si="14"/>
        <v>0</v>
      </c>
      <c r="N222" s="1395">
        <f t="shared" si="14"/>
        <v>0</v>
      </c>
      <c r="O222" s="800">
        <f t="shared" si="16"/>
        <v>0</v>
      </c>
      <c r="P222" s="1397">
        <f t="shared" si="19"/>
        <v>0</v>
      </c>
    </row>
    <row r="223" spans="2:16">
      <c r="B223" s="1399">
        <f t="shared" si="21"/>
        <v>2.6</v>
      </c>
      <c r="C223" s="1394" t="str">
        <f>IF(AND($C27&lt;&gt;"(***)",OR($D27&lt;&gt;0,$F27&lt;&gt;0,$H27&lt;&gt;0,$J27&lt;&gt;0,$L27&lt;&gt;0,$N27&lt;&gt;0,$P27&lt;&gt;0)),$C27,"")</f>
        <v>מענקים מיועדים</v>
      </c>
      <c r="D223" s="1395">
        <f t="shared" si="20"/>
        <v>1486</v>
      </c>
      <c r="E223" s="1395">
        <f t="shared" si="6"/>
        <v>0</v>
      </c>
      <c r="F223" s="1395">
        <f t="shared" si="17"/>
        <v>1324</v>
      </c>
      <c r="G223" s="1395">
        <f t="shared" si="7"/>
        <v>0</v>
      </c>
      <c r="H223" s="1396">
        <f t="shared" si="18"/>
        <v>1.6000000000000001E-3</v>
      </c>
      <c r="I223" s="1395">
        <f t="shared" si="8"/>
        <v>0</v>
      </c>
      <c r="J223" s="1398">
        <f t="shared" ref="J223:N226" si="22">J27</f>
        <v>162</v>
      </c>
      <c r="K223" s="1395">
        <f t="shared" si="22"/>
        <v>0</v>
      </c>
      <c r="L223" s="1398">
        <f t="shared" si="22"/>
        <v>0</v>
      </c>
      <c r="M223" s="1395">
        <f t="shared" si="22"/>
        <v>0</v>
      </c>
      <c r="N223" s="1398">
        <f t="shared" si="22"/>
        <v>327</v>
      </c>
      <c r="O223" s="800">
        <f t="shared" si="16"/>
        <v>0</v>
      </c>
      <c r="P223" s="1397">
        <f t="shared" si="19"/>
        <v>4.0000000000000002E-4</v>
      </c>
    </row>
    <row r="224" spans="2:16">
      <c r="B224" s="1399">
        <f>B28</f>
        <v>0</v>
      </c>
      <c r="C224" s="1394">
        <f>C28</f>
        <v>0</v>
      </c>
      <c r="D224" s="1400">
        <f t="shared" si="20"/>
        <v>193914</v>
      </c>
      <c r="E224" s="1395">
        <f t="shared" si="6"/>
        <v>0</v>
      </c>
      <c r="F224" s="1400">
        <f t="shared" si="17"/>
        <v>191150</v>
      </c>
      <c r="G224" s="1395">
        <f t="shared" si="7"/>
        <v>0</v>
      </c>
      <c r="H224" s="1401">
        <f t="shared" si="18"/>
        <v>0.22389999999999999</v>
      </c>
      <c r="I224" s="1395">
        <f t="shared" si="8"/>
        <v>0</v>
      </c>
      <c r="J224" s="1400">
        <f t="shared" si="22"/>
        <v>2764</v>
      </c>
      <c r="K224" s="1395">
        <f t="shared" si="22"/>
        <v>0</v>
      </c>
      <c r="L224" s="1400">
        <f t="shared" si="22"/>
        <v>0</v>
      </c>
      <c r="M224" s="1395">
        <f t="shared" si="22"/>
        <v>0</v>
      </c>
      <c r="N224" s="1400">
        <f t="shared" si="22"/>
        <v>181976</v>
      </c>
      <c r="O224" s="800">
        <f t="shared" si="16"/>
        <v>0</v>
      </c>
      <c r="P224" s="1402">
        <f t="shared" si="19"/>
        <v>0.22869999999999999</v>
      </c>
    </row>
    <row r="225" spans="2:16">
      <c r="B225" s="1399">
        <f>B29</f>
        <v>0</v>
      </c>
      <c r="C225" s="1394">
        <f>C29</f>
        <v>0</v>
      </c>
      <c r="D225" s="1395">
        <f t="shared" si="20"/>
        <v>0</v>
      </c>
      <c r="E225" s="1395">
        <f t="shared" si="6"/>
        <v>0</v>
      </c>
      <c r="F225" s="1395">
        <f t="shared" si="17"/>
        <v>0</v>
      </c>
      <c r="G225" s="1395">
        <f t="shared" si="7"/>
        <v>0</v>
      </c>
      <c r="H225" s="1395">
        <f t="shared" si="18"/>
        <v>0</v>
      </c>
      <c r="I225" s="1395">
        <f t="shared" si="8"/>
        <v>0</v>
      </c>
      <c r="J225" s="1395">
        <f t="shared" si="22"/>
        <v>0</v>
      </c>
      <c r="K225" s="1395">
        <f t="shared" si="22"/>
        <v>0</v>
      </c>
      <c r="L225" s="1395">
        <f t="shared" si="22"/>
        <v>0</v>
      </c>
      <c r="M225" s="1395">
        <f t="shared" si="22"/>
        <v>0</v>
      </c>
      <c r="N225" s="1395">
        <f t="shared" si="22"/>
        <v>0</v>
      </c>
      <c r="O225" s="800">
        <f t="shared" si="16"/>
        <v>0</v>
      </c>
      <c r="P225" s="1397">
        <f t="shared" si="19"/>
        <v>0</v>
      </c>
    </row>
    <row r="226" spans="2:16" ht="13.8" thickBot="1">
      <c r="B226" s="1399">
        <f>B30</f>
        <v>0</v>
      </c>
      <c r="C226" s="1394" t="str">
        <f>IF(AND($D30=0,$F30=0,$H30=0,$J30=0,$L30=0,$N30=0,$P30=0),"",$C30)</f>
        <v>סה"כ הכנסות לפי מקורות</v>
      </c>
      <c r="D226" s="2804">
        <f t="shared" si="20"/>
        <v>836225</v>
      </c>
      <c r="E226" s="1395">
        <f t="shared" si="6"/>
        <v>0</v>
      </c>
      <c r="F226" s="2804">
        <f t="shared" si="17"/>
        <v>853785</v>
      </c>
      <c r="G226" s="1395">
        <f t="shared" si="7"/>
        <v>0</v>
      </c>
      <c r="H226" s="2805">
        <f t="shared" si="18"/>
        <v>1</v>
      </c>
      <c r="I226" s="1395">
        <f t="shared" si="8"/>
        <v>0</v>
      </c>
      <c r="J226" s="2804">
        <f t="shared" si="22"/>
        <v>17454</v>
      </c>
      <c r="K226" s="1395">
        <f t="shared" si="22"/>
        <v>0</v>
      </c>
      <c r="L226" s="2804">
        <f t="shared" si="22"/>
        <v>35014</v>
      </c>
      <c r="M226" s="1395">
        <f t="shared" si="22"/>
        <v>0</v>
      </c>
      <c r="N226" s="2804">
        <f t="shared" si="22"/>
        <v>795695</v>
      </c>
      <c r="O226" s="800">
        <f t="shared" si="16"/>
        <v>0</v>
      </c>
      <c r="P226" s="2803">
        <f t="shared" si="19"/>
        <v>1</v>
      </c>
    </row>
    <row r="227" spans="2:16" ht="13.8" thickTop="1">
      <c r="B227" s="1399"/>
      <c r="C227" s="1394">
        <f>IF(C31&lt;&gt; "(***)", C31,0)</f>
        <v>0</v>
      </c>
      <c r="D227" s="2945"/>
      <c r="E227" s="1395"/>
      <c r="F227" s="2945"/>
      <c r="G227" s="1395"/>
      <c r="H227" s="2946"/>
      <c r="I227" s="1395"/>
      <c r="J227" s="2945"/>
      <c r="K227" s="1395"/>
      <c r="L227" s="2945"/>
      <c r="M227" s="1395"/>
      <c r="N227" s="2945"/>
      <c r="O227" s="800"/>
      <c r="P227" s="2947"/>
    </row>
    <row r="228" spans="2:16">
      <c r="B228" s="1404">
        <f t="shared" ref="B228:P228" si="23">B32</f>
        <v>0</v>
      </c>
      <c r="C228" s="1405">
        <f t="shared" si="23"/>
        <v>0</v>
      </c>
      <c r="D228" s="1398">
        <f t="shared" si="23"/>
        <v>0</v>
      </c>
      <c r="E228" s="1398">
        <f t="shared" si="23"/>
        <v>0</v>
      </c>
      <c r="F228" s="1398">
        <f t="shared" si="23"/>
        <v>0</v>
      </c>
      <c r="G228" s="1398">
        <f t="shared" si="23"/>
        <v>0</v>
      </c>
      <c r="H228" s="1381">
        <f t="shared" si="23"/>
        <v>0</v>
      </c>
      <c r="I228" s="1379">
        <f t="shared" si="23"/>
        <v>0</v>
      </c>
      <c r="J228" s="1406">
        <f t="shared" si="23"/>
        <v>0</v>
      </c>
      <c r="K228" s="1406">
        <f t="shared" si="23"/>
        <v>0</v>
      </c>
      <c r="L228" s="1406">
        <f t="shared" si="23"/>
        <v>0</v>
      </c>
      <c r="M228" s="1406">
        <f t="shared" si="23"/>
        <v>0</v>
      </c>
      <c r="N228" s="1406">
        <f t="shared" si="23"/>
        <v>0</v>
      </c>
      <c r="O228" s="1406">
        <f t="shared" si="23"/>
        <v>0</v>
      </c>
      <c r="P228" s="1448">
        <f t="shared" si="23"/>
        <v>0</v>
      </c>
    </row>
  </sheetData>
  <sheetProtection password="83C1" sheet="1" objects="1" scenarios="1"/>
  <mergeCells count="18">
    <mergeCell ref="D13:D14"/>
    <mergeCell ref="D5:D6"/>
    <mergeCell ref="B197:P197"/>
    <mergeCell ref="B196:P196"/>
    <mergeCell ref="B195:P195"/>
    <mergeCell ref="C5:C6"/>
    <mergeCell ref="C13:C14"/>
    <mergeCell ref="F1:Q1"/>
    <mergeCell ref="F3:Q3"/>
    <mergeCell ref="F2:Q2"/>
    <mergeCell ref="P13:P14"/>
    <mergeCell ref="L5:N5"/>
    <mergeCell ref="F5:F6"/>
    <mergeCell ref="H5:H6"/>
    <mergeCell ref="J5:J6"/>
    <mergeCell ref="J13:L13"/>
    <mergeCell ref="H13:H14"/>
    <mergeCell ref="F13:F14"/>
  </mergeCells>
  <phoneticPr fontId="4" type="noConversion"/>
  <hyperlinks>
    <hyperlink ref="A4" location="'תוכן הענינים'!A1" tooltip="לחץ להצגת גליון תוכן הענינים" display="הצג תוכן ענינים"/>
  </hyperlinks>
  <printOptions horizontalCentered="1"/>
  <pageMargins left="0.39370078740157499" right="7.8740157480315001E-2" top="0.75" bottom="0.35433070866141703" header="0.25" footer="3.9370078740157501E-2"/>
  <pageSetup paperSize="9" scale="95" orientation="landscape" blackAndWhite="1" horizontalDpi="300" verticalDpi="300" r:id="rId1"/>
  <headerFooter alignWithMargins="0">
    <oddHeader>&amp;L&amp;8&amp;A</oddHeader>
    <oddFooter>&amp;C&amp;8&amp;P</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5">
    <pageSetUpPr autoPageBreaks="0"/>
  </sheetPr>
  <dimension ref="A1:S214"/>
  <sheetViews>
    <sheetView showGridLines="0" showRowColHeaders="0" showZeros="0" rightToLeft="1" showOutlineSymbols="0" zoomScale="85" zoomScaleNormal="90" zoomScaleSheetLayoutView="75" workbookViewId="0">
      <selection activeCell="G8" sqref="G8"/>
    </sheetView>
  </sheetViews>
  <sheetFormatPr defaultColWidth="9.109375" defaultRowHeight="13.2"/>
  <cols>
    <col min="1" max="1" width="8.6640625" style="1277" customWidth="1"/>
    <col min="2" max="2" width="3.6640625" style="1277" customWidth="1"/>
    <col min="3" max="3" width="27.33203125" style="1277" customWidth="1"/>
    <col min="4" max="4" width="4.44140625" style="1277" customWidth="1"/>
    <col min="5" max="5" width="10.44140625" style="1277" customWidth="1"/>
    <col min="6" max="6" width="2.6640625" style="1277" customWidth="1"/>
    <col min="7" max="7" width="8.6640625" style="1358" customWidth="1"/>
    <col min="8" max="8" width="2.6640625" style="1277" customWidth="1"/>
    <col min="9" max="9" width="9.6640625" style="1277" customWidth="1"/>
    <col min="10" max="10" width="2.6640625" style="1277" customWidth="1"/>
    <col min="11" max="11" width="8" style="1277" customWidth="1"/>
    <col min="12" max="12" width="2.6640625" style="1277" customWidth="1"/>
    <col min="13" max="13" width="8.6640625" style="1277" customWidth="1"/>
    <col min="14" max="14" width="2.6640625" style="1277" customWidth="1"/>
    <col min="15" max="15" width="11.33203125" style="1277" customWidth="1"/>
    <col min="16" max="16" width="2.6640625" style="1277" customWidth="1"/>
    <col min="17" max="17" width="9.88671875" style="1277" customWidth="1"/>
    <col min="18" max="18" width="11" style="1277" customWidth="1"/>
    <col min="19" max="16384" width="9.109375" style="1277"/>
  </cols>
  <sheetData>
    <row r="1" spans="1:19" ht="18" customHeight="1">
      <c r="A1" s="1407"/>
      <c r="B1" s="1273"/>
      <c r="C1" s="1408"/>
      <c r="D1" s="1409"/>
      <c r="E1" s="3575" t="str">
        <f>'הגדרות כלליות'!D6</f>
        <v>עירית הרצליה</v>
      </c>
      <c r="F1" s="3575"/>
      <c r="G1" s="3575"/>
      <c r="H1" s="3575"/>
      <c r="I1" s="3575"/>
      <c r="J1" s="3575"/>
      <c r="K1" s="3575"/>
      <c r="L1" s="3575"/>
      <c r="M1" s="3575"/>
      <c r="N1" s="3575"/>
      <c r="O1" s="3575"/>
      <c r="P1" s="3575"/>
      <c r="Q1" s="3575"/>
      <c r="R1" s="3575"/>
      <c r="S1" s="1281"/>
    </row>
    <row r="2" spans="1:19" ht="19.5" customHeight="1">
      <c r="A2" s="1273"/>
      <c r="B2" s="1273"/>
      <c r="C2" s="1274"/>
      <c r="D2" s="3560" t="s">
        <v>909</v>
      </c>
      <c r="E2" s="3560"/>
      <c r="F2" s="3560"/>
      <c r="G2" s="3560"/>
      <c r="H2" s="3560"/>
      <c r="I2" s="3560"/>
      <c r="J2" s="3560"/>
      <c r="K2" s="3560"/>
      <c r="L2" s="3560"/>
      <c r="M2" s="3560"/>
      <c r="N2" s="3560"/>
      <c r="O2" s="3560"/>
      <c r="P2" s="3560"/>
      <c r="Q2" s="3560"/>
      <c r="R2" s="3560"/>
      <c r="S2" s="1281"/>
    </row>
    <row r="3" spans="1:19" ht="17.399999999999999">
      <c r="A3" s="1273"/>
      <c r="B3" s="1273"/>
      <c r="C3" s="1274"/>
      <c r="D3" s="3560" t="str">
        <f>CONCATENATE("לשנת הכספים ",'הגדרות כלליות'!D10, " (אלפי ש''ח) ")</f>
        <v xml:space="preserve">לשנת הכספים 2015 (אלפי ש''ח) </v>
      </c>
      <c r="E3" s="3560"/>
      <c r="F3" s="3560"/>
      <c r="G3" s="3560"/>
      <c r="H3" s="3560"/>
      <c r="I3" s="3560"/>
      <c r="J3" s="3560"/>
      <c r="K3" s="3560"/>
      <c r="L3" s="3560"/>
      <c r="M3" s="3560"/>
      <c r="N3" s="3560"/>
      <c r="O3" s="3560"/>
      <c r="P3" s="3560"/>
      <c r="Q3" s="3560"/>
      <c r="R3" s="3560"/>
      <c r="S3" s="1281"/>
    </row>
    <row r="4" spans="1:19" ht="24.75" customHeight="1">
      <c r="A4" s="7" t="s">
        <v>339</v>
      </c>
      <c r="B4" s="1280"/>
      <c r="C4" s="1410"/>
      <c r="D4" s="1410"/>
      <c r="E4" s="1410"/>
      <c r="F4" s="1410"/>
      <c r="G4" s="1410"/>
      <c r="H4" s="1410"/>
      <c r="I4" s="1410"/>
      <c r="J4" s="1410"/>
      <c r="K4" s="1410"/>
      <c r="L4" s="1410"/>
      <c r="M4" s="1410"/>
      <c r="N4" s="1410"/>
      <c r="O4" s="1410"/>
      <c r="P4" s="1410"/>
      <c r="Q4" s="1410"/>
      <c r="R4" s="1410"/>
      <c r="S4" s="1281"/>
    </row>
    <row r="5" spans="1:19">
      <c r="A5" s="1280"/>
      <c r="B5" s="1411"/>
      <c r="C5" s="3574" t="s">
        <v>910</v>
      </c>
      <c r="D5" s="1412"/>
      <c r="E5" s="3566" t="s">
        <v>395</v>
      </c>
      <c r="F5" s="1283"/>
      <c r="G5" s="3570" t="s">
        <v>894</v>
      </c>
      <c r="H5" s="1283"/>
      <c r="I5" s="3566" t="s">
        <v>899</v>
      </c>
      <c r="J5" s="1283"/>
      <c r="K5" s="3565" t="s">
        <v>895</v>
      </c>
      <c r="L5" s="3565"/>
      <c r="M5" s="3565"/>
      <c r="N5" s="1283"/>
      <c r="O5" s="1283" t="s">
        <v>894</v>
      </c>
      <c r="P5" s="1283" t="s">
        <v>506</v>
      </c>
      <c r="Q5" s="3576" t="s">
        <v>899</v>
      </c>
      <c r="R5" s="1346"/>
      <c r="S5" s="1281"/>
    </row>
    <row r="6" spans="1:19">
      <c r="A6" s="1280"/>
      <c r="B6" s="1413"/>
      <c r="C6" s="3402"/>
      <c r="D6" s="1414"/>
      <c r="E6" s="3567"/>
      <c r="F6" s="1286"/>
      <c r="G6" s="3567"/>
      <c r="H6" s="1286"/>
      <c r="I6" s="3567"/>
      <c r="J6" s="1286"/>
      <c r="K6" s="1286" t="s">
        <v>896</v>
      </c>
      <c r="L6" s="1286"/>
      <c r="M6" s="1286" t="s">
        <v>897</v>
      </c>
      <c r="N6" s="1286"/>
      <c r="O6" s="1286">
        <f>'הגדרות כלליות'!D12</f>
        <v>2014</v>
      </c>
      <c r="P6" s="1286"/>
      <c r="Q6" s="3577"/>
      <c r="R6" s="1346"/>
      <c r="S6" s="1281"/>
    </row>
    <row r="7" spans="1:19">
      <c r="A7" s="1280"/>
      <c r="B7" s="1288"/>
      <c r="C7" s="252"/>
      <c r="D7" s="1415"/>
      <c r="E7" s="1415"/>
      <c r="F7" s="1415"/>
      <c r="G7" s="1315"/>
      <c r="H7" s="1416"/>
      <c r="I7" s="1415"/>
      <c r="J7" s="1415"/>
      <c r="K7" s="1415"/>
      <c r="L7" s="1415"/>
      <c r="M7" s="1415"/>
      <c r="N7" s="1415"/>
      <c r="O7" s="1416" t="s">
        <v>360</v>
      </c>
      <c r="P7" s="1318"/>
      <c r="Q7" s="1319"/>
      <c r="R7" s="1346"/>
      <c r="S7" s="1281"/>
    </row>
    <row r="8" spans="1:19">
      <c r="A8" s="1280"/>
      <c r="B8" s="2635" t="s">
        <v>911</v>
      </c>
      <c r="C8" s="1292" t="s">
        <v>912</v>
      </c>
      <c r="D8" s="1415"/>
      <c r="E8" s="1297">
        <f>'נתונים לנספח 4 לטופס 2 חלק א'!$E$30</f>
        <v>332705</v>
      </c>
      <c r="F8" s="1295"/>
      <c r="G8" s="1297">
        <f>'נתונים לנספח 4 לטופס 2 חלק א'!$F$30</f>
        <v>319784</v>
      </c>
      <c r="H8" s="1417"/>
      <c r="I8" s="1418">
        <f>IF($G$18&lt;&gt;0,ROUND(G8/$G$18,4),0)</f>
        <v>0.38240000000000002</v>
      </c>
      <c r="J8" s="1415"/>
      <c r="K8" s="1297">
        <f t="shared" ref="K8:K16" si="0">IF(G8&lt;E8,E8-G8,0)</f>
        <v>12921</v>
      </c>
      <c r="L8" s="1295"/>
      <c r="M8" s="1297">
        <f t="shared" ref="M8:M16" si="1">IF(G8&gt;E8,G8-E8,0)</f>
        <v>0</v>
      </c>
      <c r="N8" s="1295"/>
      <c r="O8" s="1297">
        <f>'נתונים לנספח 4 לטופס 2 חלק א'!$K$30</f>
        <v>301819</v>
      </c>
      <c r="P8" s="1002"/>
      <c r="Q8" s="1419">
        <f>IF($O$18 &lt;&gt; 0,ROUND(O8/$O$18,4),0)</f>
        <v>0.38450000000000001</v>
      </c>
      <c r="R8" s="1346"/>
      <c r="S8" s="1281"/>
    </row>
    <row r="9" spans="1:19">
      <c r="A9" s="1280"/>
      <c r="B9" s="2635" t="s">
        <v>913</v>
      </c>
      <c r="C9" s="1292" t="s">
        <v>1205</v>
      </c>
      <c r="D9" s="1415"/>
      <c r="E9" s="1420">
        <f>'נתונים לנספח 1 לטופס 2'!$C$47</f>
        <v>54023</v>
      </c>
      <c r="F9" s="1295"/>
      <c r="G9" s="1420">
        <f>'נתונים לנספח 1 לטופס 2'!$D$47</f>
        <v>46474</v>
      </c>
      <c r="H9" s="1417"/>
      <c r="I9" s="1421">
        <f>IF(G18&lt;&gt;0,(1-(I8+I10+I11+I12+I13+I14+I15+I16)),0)</f>
        <v>5.5599999999999983E-2</v>
      </c>
      <c r="J9" s="1415"/>
      <c r="K9" s="1420">
        <f t="shared" si="0"/>
        <v>7549</v>
      </c>
      <c r="L9" s="1295"/>
      <c r="M9" s="1420">
        <f t="shared" si="1"/>
        <v>0</v>
      </c>
      <c r="N9" s="1295"/>
      <c r="O9" s="1420">
        <f>'נתונים לנספח 1 לטופס 2'!$E$47</f>
        <v>47681</v>
      </c>
      <c r="P9" s="1002"/>
      <c r="Q9" s="1422">
        <f>IF(O18&lt;&gt;0,(1-(Q8+Q10+Q11+Q12+Q13+Q14+Q15+Q16)),0)</f>
        <v>6.0700000000000087E-2</v>
      </c>
      <c r="R9" s="1346"/>
      <c r="S9" s="1281"/>
    </row>
    <row r="10" spans="1:19">
      <c r="A10" s="1280"/>
      <c r="B10" s="2635" t="s">
        <v>914</v>
      </c>
      <c r="C10" s="1292" t="s">
        <v>1029</v>
      </c>
      <c r="D10" s="1415"/>
      <c r="E10" s="1420">
        <f>'טופס 2'!$N$13</f>
        <v>2910</v>
      </c>
      <c r="F10" s="1295"/>
      <c r="G10" s="1420">
        <f>'טופס 2'!$P$13</f>
        <v>2630</v>
      </c>
      <c r="H10" s="1417"/>
      <c r="I10" s="1421">
        <f t="shared" ref="I10:I16" si="2">IF($G$18&lt;&gt;0,ROUND(G10/$G$18,4),0)</f>
        <v>3.0999999999999999E-3</v>
      </c>
      <c r="J10" s="1415"/>
      <c r="K10" s="1420">
        <f t="shared" si="0"/>
        <v>280</v>
      </c>
      <c r="L10" s="1295"/>
      <c r="M10" s="1420">
        <f t="shared" si="1"/>
        <v>0</v>
      </c>
      <c r="N10" s="1295"/>
      <c r="O10" s="1420">
        <f>'טופס 2'!$R$13</f>
        <v>2503</v>
      </c>
      <c r="P10" s="1002"/>
      <c r="Q10" s="1422">
        <f t="shared" ref="Q10:Q16" si="3">IF($O$18 &lt;&gt; 0,ROUND(O10/$O$18,4),0)</f>
        <v>3.2000000000000002E-3</v>
      </c>
      <c r="R10" s="1346"/>
      <c r="S10" s="1281"/>
    </row>
    <row r="11" spans="1:19">
      <c r="A11" s="1280"/>
      <c r="B11" s="2635" t="s">
        <v>915</v>
      </c>
      <c r="C11" s="1292" t="s">
        <v>1206</v>
      </c>
      <c r="D11" s="1415"/>
      <c r="E11" s="1420">
        <f>'נתונים לנספח 1 לטופס 2'!$C$39</f>
        <v>211784</v>
      </c>
      <c r="F11" s="1295"/>
      <c r="G11" s="1420">
        <f>'נתונים לנספח 1 לטופס 2'!$D$39</f>
        <v>201312</v>
      </c>
      <c r="H11" s="1417"/>
      <c r="I11" s="1421">
        <f t="shared" si="2"/>
        <v>0.2407</v>
      </c>
      <c r="J11" s="1415"/>
      <c r="K11" s="1420">
        <f t="shared" si="0"/>
        <v>10472</v>
      </c>
      <c r="L11" s="1295"/>
      <c r="M11" s="1420">
        <f t="shared" si="1"/>
        <v>0</v>
      </c>
      <c r="N11" s="1295"/>
      <c r="O11" s="1420">
        <f>'נתונים לנספח 1 לטופס 2'!$E$39</f>
        <v>192082</v>
      </c>
      <c r="P11" s="1002"/>
      <c r="Q11" s="1422">
        <f t="shared" si="3"/>
        <v>0.2447</v>
      </c>
      <c r="R11" s="1346"/>
      <c r="S11" s="1281"/>
    </row>
    <row r="12" spans="1:19">
      <c r="A12" s="1280"/>
      <c r="B12" s="2635" t="s">
        <v>916</v>
      </c>
      <c r="C12" s="1292" t="s">
        <v>917</v>
      </c>
      <c r="D12" s="1415"/>
      <c r="E12" s="1420">
        <f>'נתונים לנספח 1 לטופס 2'!$C$56</f>
        <v>174285</v>
      </c>
      <c r="F12" s="1295"/>
      <c r="G12" s="1420">
        <f>'נתונים לנספח 1 לטופס 2'!$D$56</f>
        <v>167296</v>
      </c>
      <c r="H12" s="1417"/>
      <c r="I12" s="1421">
        <f t="shared" si="2"/>
        <v>0.2001</v>
      </c>
      <c r="J12" s="1415"/>
      <c r="K12" s="1420">
        <f t="shared" si="0"/>
        <v>6989</v>
      </c>
      <c r="L12" s="1295"/>
      <c r="M12" s="1420">
        <f t="shared" si="1"/>
        <v>0</v>
      </c>
      <c r="N12" s="1295"/>
      <c r="O12" s="1420">
        <f>'נתונים לנספח 1 לטופס 2'!$E$56</f>
        <v>158513</v>
      </c>
      <c r="P12" s="1002"/>
      <c r="Q12" s="1422">
        <f t="shared" si="3"/>
        <v>0.2019</v>
      </c>
      <c r="R12" s="1280"/>
      <c r="S12" s="1281"/>
    </row>
    <row r="13" spans="1:19" ht="15.75" customHeight="1">
      <c r="A13" s="1280"/>
      <c r="B13" s="2635" t="s">
        <v>918</v>
      </c>
      <c r="C13" s="1292" t="s">
        <v>919</v>
      </c>
      <c r="D13" s="1415"/>
      <c r="E13" s="1420">
        <f>'נתונים לנספח 1 לטופס 2'!$C$63</f>
        <v>23918</v>
      </c>
      <c r="F13" s="1295"/>
      <c r="G13" s="1420">
        <f>'נתונים לנספח 1 לטופס 2'!$D$63</f>
        <v>64139</v>
      </c>
      <c r="H13" s="1417"/>
      <c r="I13" s="1421">
        <f t="shared" si="2"/>
        <v>7.6700000000000004E-2</v>
      </c>
      <c r="J13" s="1415"/>
      <c r="K13" s="1420">
        <f t="shared" si="0"/>
        <v>0</v>
      </c>
      <c r="L13" s="1295"/>
      <c r="M13" s="1420">
        <f t="shared" si="1"/>
        <v>40221</v>
      </c>
      <c r="N13" s="1295"/>
      <c r="O13" s="1420">
        <f>'נתונים לנספח 1 לטופס 2'!$E$63</f>
        <v>42173</v>
      </c>
      <c r="P13" s="1002"/>
      <c r="Q13" s="1422">
        <f t="shared" si="3"/>
        <v>5.3699999999999998E-2</v>
      </c>
      <c r="R13" s="1346"/>
      <c r="S13" s="1281"/>
    </row>
    <row r="14" spans="1:19" ht="15.75" customHeight="1">
      <c r="A14" s="1280"/>
      <c r="B14" s="2635" t="s">
        <v>920</v>
      </c>
      <c r="C14" s="1292" t="s">
        <v>921</v>
      </c>
      <c r="D14" s="1415"/>
      <c r="E14" s="1420">
        <f>'נתונים לנספח 1 לטופס 2'!$C$72</f>
        <v>36600</v>
      </c>
      <c r="F14" s="1295"/>
      <c r="G14" s="1420">
        <f>'נתונים לנספח 1 לטופס 2'!$D$72</f>
        <v>34633</v>
      </c>
      <c r="H14" s="1417"/>
      <c r="I14" s="1421">
        <f t="shared" si="2"/>
        <v>4.1399999999999999E-2</v>
      </c>
      <c r="J14" s="1415"/>
      <c r="K14" s="1420">
        <f t="shared" si="0"/>
        <v>1967</v>
      </c>
      <c r="L14" s="1295"/>
      <c r="M14" s="1420">
        <f t="shared" si="1"/>
        <v>0</v>
      </c>
      <c r="N14" s="1295"/>
      <c r="O14" s="1420">
        <f>'נתונים לנספח 1 לטופס 2'!$E$72</f>
        <v>40282</v>
      </c>
      <c r="P14" s="1002"/>
      <c r="Q14" s="1422">
        <f t="shared" si="3"/>
        <v>5.1299999999999998E-2</v>
      </c>
      <c r="R14" s="1346"/>
      <c r="S14" s="1281"/>
    </row>
    <row r="15" spans="1:19" ht="15.75" customHeight="1">
      <c r="A15" s="1280"/>
      <c r="B15" s="2635">
        <v>8</v>
      </c>
      <c r="C15" s="1292" t="s">
        <v>311</v>
      </c>
      <c r="D15" s="1415"/>
      <c r="E15" s="1420">
        <f>'ביאור 4'!C22</f>
        <v>0</v>
      </c>
      <c r="F15" s="1295"/>
      <c r="G15" s="1420">
        <f>'ביאור 4'!E22</f>
        <v>0</v>
      </c>
      <c r="H15" s="1417"/>
      <c r="I15" s="1421">
        <f t="shared" si="2"/>
        <v>0</v>
      </c>
      <c r="J15" s="1415"/>
      <c r="K15" s="1420">
        <f t="shared" si="0"/>
        <v>0</v>
      </c>
      <c r="L15" s="1295"/>
      <c r="M15" s="1420">
        <f t="shared" si="1"/>
        <v>0</v>
      </c>
      <c r="N15" s="1295"/>
      <c r="O15" s="1420">
        <f>'ביאור 4'!G22</f>
        <v>0</v>
      </c>
      <c r="P15" s="1002"/>
      <c r="Q15" s="1422">
        <f t="shared" si="3"/>
        <v>0</v>
      </c>
      <c r="R15" s="1346"/>
      <c r="S15" s="1281"/>
    </row>
    <row r="16" spans="1:19" ht="15.75" customHeight="1">
      <c r="A16" s="1280"/>
      <c r="B16" s="2635">
        <v>9</v>
      </c>
      <c r="C16" s="1327" t="s">
        <v>350</v>
      </c>
      <c r="D16" s="1415"/>
      <c r="E16" s="1299"/>
      <c r="F16" s="1295"/>
      <c r="G16" s="1299"/>
      <c r="H16" s="1417"/>
      <c r="I16" s="1423">
        <f t="shared" si="2"/>
        <v>0</v>
      </c>
      <c r="J16" s="1415"/>
      <c r="K16" s="1302">
        <f t="shared" si="0"/>
        <v>0</v>
      </c>
      <c r="L16" s="1295"/>
      <c r="M16" s="1302">
        <f t="shared" si="1"/>
        <v>0</v>
      </c>
      <c r="N16" s="1295"/>
      <c r="O16" s="1299"/>
      <c r="P16" s="1002"/>
      <c r="Q16" s="1424">
        <f t="shared" si="3"/>
        <v>0</v>
      </c>
      <c r="R16" s="1346"/>
      <c r="S16" s="1281"/>
    </row>
    <row r="17" spans="1:19">
      <c r="A17" s="1280"/>
      <c r="B17" s="1288"/>
      <c r="C17" s="1292"/>
      <c r="D17" s="1292"/>
      <c r="E17" s="1295"/>
      <c r="F17" s="1295"/>
      <c r="G17" s="1295"/>
      <c r="H17" s="1425"/>
      <c r="I17" s="1417"/>
      <c r="J17" s="1292"/>
      <c r="K17" s="1295"/>
      <c r="L17" s="1295"/>
      <c r="M17" s="1295"/>
      <c r="N17" s="1295"/>
      <c r="O17" s="1295"/>
      <c r="P17" s="1292"/>
      <c r="Q17" s="1426"/>
      <c r="R17" s="1346"/>
      <c r="S17" s="1281"/>
    </row>
    <row r="18" spans="1:19" ht="13.8" thickBot="1">
      <c r="A18" s="1280"/>
      <c r="B18" s="1288"/>
      <c r="C18" s="1292" t="s">
        <v>922</v>
      </c>
      <c r="D18" s="1289"/>
      <c r="E18" s="1427">
        <f>SUM(E8:E16)</f>
        <v>836225</v>
      </c>
      <c r="F18" s="1295"/>
      <c r="G18" s="1427">
        <f>SUM(G8:G16)</f>
        <v>836268</v>
      </c>
      <c r="H18" s="1417"/>
      <c r="I18" s="1428">
        <f>IF($G$18&lt;&gt;0,ROUND(G18/$G$18,4),0)</f>
        <v>1</v>
      </c>
      <c r="J18" s="1415"/>
      <c r="K18" s="1427">
        <f>SUM(K7:K16)</f>
        <v>40178</v>
      </c>
      <c r="L18" s="1295"/>
      <c r="M18" s="1427">
        <f>SUM(M8:M16)</f>
        <v>40221</v>
      </c>
      <c r="N18" s="1295"/>
      <c r="O18" s="1427">
        <f>SUM(O8:O16)</f>
        <v>785053</v>
      </c>
      <c r="P18" s="1002"/>
      <c r="Q18" s="1429">
        <f>IF($O$18 &lt;&gt; 0,ROUND(O18/$O$18,4),0)</f>
        <v>1</v>
      </c>
      <c r="R18" s="1346"/>
      <c r="S18" s="1281"/>
    </row>
    <row r="19" spans="1:19" ht="13.8" thickTop="1">
      <c r="A19" s="1280"/>
      <c r="B19" s="1288"/>
      <c r="C19" s="1327" t="s">
        <v>350</v>
      </c>
      <c r="D19" s="1289"/>
      <c r="E19" s="1292"/>
      <c r="F19" s="1292"/>
      <c r="G19" s="1292"/>
      <c r="H19" s="1292"/>
      <c r="I19" s="1292"/>
      <c r="J19" s="1292"/>
      <c r="K19" s="1292"/>
      <c r="L19" s="1292"/>
      <c r="M19" s="1292"/>
      <c r="N19" s="1292"/>
      <c r="O19" s="1292"/>
      <c r="P19" s="1002"/>
      <c r="Q19" s="1319"/>
      <c r="R19" s="1346"/>
      <c r="S19" s="1281"/>
    </row>
    <row r="20" spans="1:19">
      <c r="A20" s="1280"/>
      <c r="B20" s="1307"/>
      <c r="C20" s="1430"/>
      <c r="D20" s="1430"/>
      <c r="E20" s="1430"/>
      <c r="F20" s="1430"/>
      <c r="G20" s="1430"/>
      <c r="H20" s="1430"/>
      <c r="I20" s="1430"/>
      <c r="J20" s="1430"/>
      <c r="K20" s="1430"/>
      <c r="L20" s="1430"/>
      <c r="M20" s="1430"/>
      <c r="N20" s="1430"/>
      <c r="O20" s="1430"/>
      <c r="P20" s="1430"/>
      <c r="Q20" s="1431"/>
      <c r="R20" s="1346"/>
      <c r="S20" s="1281"/>
    </row>
    <row r="21" spans="1:19" ht="13.8" thickBot="1">
      <c r="A21" s="1280"/>
      <c r="B21" s="1280"/>
      <c r="C21" s="1280"/>
      <c r="D21" s="1432"/>
      <c r="E21" s="1432"/>
      <c r="F21" s="1432"/>
      <c r="G21" s="1312"/>
      <c r="H21" s="1433"/>
      <c r="I21" s="1434"/>
      <c r="J21" s="1435"/>
      <c r="K21" s="1435"/>
      <c r="L21" s="1435"/>
      <c r="M21" s="1435"/>
      <c r="N21" s="1435"/>
      <c r="O21" s="1435"/>
      <c r="P21" s="1346"/>
      <c r="Q21" s="1346"/>
      <c r="R21" s="1346"/>
      <c r="S21" s="1281"/>
    </row>
    <row r="22" spans="1:19" ht="15.75" customHeight="1" thickTop="1">
      <c r="A22" s="1352"/>
      <c r="B22" s="1352"/>
      <c r="C22" s="1352"/>
      <c r="D22" s="1353"/>
      <c r="E22" s="1353"/>
      <c r="F22" s="1353"/>
      <c r="G22" s="1354"/>
      <c r="H22" s="1356"/>
      <c r="I22" s="1353"/>
      <c r="J22" s="1353"/>
      <c r="K22" s="1353"/>
      <c r="L22" s="1353"/>
      <c r="M22" s="1353"/>
      <c r="N22" s="1353"/>
      <c r="O22" s="1356" t="s">
        <v>360</v>
      </c>
      <c r="P22" s="1355"/>
      <c r="Q22" s="1355"/>
      <c r="R22" s="1355"/>
    </row>
    <row r="23" spans="1:19">
      <c r="D23" s="1357"/>
      <c r="E23" s="1357"/>
      <c r="F23" s="1357"/>
      <c r="H23" s="1360"/>
      <c r="I23" s="1357"/>
      <c r="J23" s="1357"/>
      <c r="K23" s="1357"/>
      <c r="L23" s="1357"/>
      <c r="M23" s="1357"/>
      <c r="N23" s="1357"/>
      <c r="O23" s="1360"/>
      <c r="P23" s="1359"/>
      <c r="Q23" s="1359"/>
      <c r="R23" s="1359"/>
    </row>
    <row r="24" spans="1:19">
      <c r="D24" s="1357"/>
      <c r="E24" s="1357"/>
      <c r="F24" s="1357"/>
      <c r="H24" s="1360"/>
      <c r="I24" s="1357"/>
      <c r="J24" s="1357"/>
      <c r="K24" s="1357"/>
      <c r="L24" s="1357"/>
      <c r="M24" s="1357"/>
      <c r="N24" s="1357"/>
      <c r="O24" s="1360"/>
      <c r="P24" s="1359"/>
      <c r="Q24" s="1359"/>
      <c r="R24" s="1359"/>
    </row>
    <row r="25" spans="1:19">
      <c r="D25" s="1357"/>
      <c r="E25" s="1357"/>
      <c r="F25" s="1357"/>
      <c r="H25" s="1360"/>
      <c r="I25" s="1357"/>
      <c r="J25" s="1357"/>
      <c r="K25" s="1357"/>
      <c r="L25" s="1357"/>
      <c r="M25" s="1357"/>
      <c r="N25" s="1357"/>
      <c r="O25" s="1360"/>
      <c r="P25" s="1359"/>
      <c r="Q25" s="1359"/>
      <c r="R25" s="1359"/>
    </row>
    <row r="26" spans="1:19">
      <c r="D26" s="1357"/>
      <c r="E26" s="1357"/>
      <c r="F26" s="1357"/>
      <c r="H26" s="1360"/>
      <c r="I26" s="1357"/>
      <c r="J26" s="1357"/>
      <c r="K26" s="1357"/>
      <c r="L26" s="1357"/>
      <c r="M26" s="1357"/>
      <c r="N26" s="1357"/>
      <c r="O26" s="1360"/>
      <c r="P26" s="1359"/>
      <c r="Q26" s="1359"/>
      <c r="R26" s="1359"/>
    </row>
    <row r="27" spans="1:19">
      <c r="D27" s="1357"/>
      <c r="E27" s="1357"/>
      <c r="F27" s="1357"/>
      <c r="H27" s="1360"/>
      <c r="I27" s="1357"/>
      <c r="J27" s="1357"/>
      <c r="K27" s="1357"/>
      <c r="L27" s="1357"/>
      <c r="M27" s="1357"/>
      <c r="N27" s="1357"/>
      <c r="O27" s="1360"/>
      <c r="P27" s="1359"/>
      <c r="Q27" s="1359"/>
      <c r="R27" s="1359"/>
    </row>
    <row r="28" spans="1:19">
      <c r="D28" s="1357"/>
      <c r="E28" s="1357"/>
      <c r="F28" s="1357"/>
      <c r="H28" s="1360"/>
      <c r="I28" s="1357"/>
      <c r="J28" s="1357"/>
      <c r="K28" s="1357"/>
      <c r="L28" s="1357"/>
      <c r="M28" s="1357"/>
      <c r="N28" s="1357"/>
      <c r="O28" s="1360"/>
      <c r="P28" s="1359"/>
      <c r="Q28" s="1359"/>
      <c r="R28" s="1359"/>
    </row>
    <row r="29" spans="1:19">
      <c r="D29" s="1357"/>
      <c r="E29" s="1357"/>
      <c r="F29" s="1357"/>
      <c r="H29" s="1360"/>
      <c r="I29" s="1357"/>
      <c r="J29" s="1357"/>
      <c r="K29" s="1357"/>
      <c r="L29" s="1357"/>
      <c r="M29" s="1357"/>
      <c r="N29" s="1357"/>
      <c r="O29" s="1360"/>
      <c r="P29" s="1359"/>
      <c r="Q29" s="1359"/>
      <c r="R29" s="1359"/>
    </row>
    <row r="30" spans="1:19">
      <c r="D30" s="1357"/>
      <c r="E30" s="1357"/>
      <c r="F30" s="1357"/>
      <c r="H30" s="1360"/>
      <c r="I30" s="1357"/>
      <c r="J30" s="1357"/>
      <c r="K30" s="1357"/>
      <c r="L30" s="1357"/>
      <c r="M30" s="1357"/>
      <c r="N30" s="1357"/>
      <c r="O30" s="1360"/>
      <c r="P30" s="1359"/>
      <c r="Q30" s="1359"/>
      <c r="R30" s="1359"/>
    </row>
    <row r="31" spans="1:19">
      <c r="D31" s="1357"/>
      <c r="E31" s="1357"/>
      <c r="F31" s="1357"/>
      <c r="H31" s="1360"/>
      <c r="I31" s="1357"/>
      <c r="J31" s="1357"/>
      <c r="K31" s="1357"/>
      <c r="L31" s="1357"/>
      <c r="M31" s="1357"/>
      <c r="N31" s="1357"/>
      <c r="O31" s="1360"/>
      <c r="P31" s="1359"/>
      <c r="Q31" s="1359"/>
      <c r="R31" s="1359"/>
    </row>
    <row r="32" spans="1:19">
      <c r="D32" s="1357"/>
      <c r="E32" s="1357"/>
      <c r="F32" s="1357"/>
      <c r="H32" s="1360"/>
      <c r="I32" s="1357"/>
      <c r="J32" s="1357"/>
      <c r="K32" s="1357"/>
      <c r="L32" s="1357"/>
      <c r="M32" s="1357"/>
      <c r="N32" s="1357"/>
      <c r="O32" s="1360"/>
      <c r="P32" s="1359"/>
      <c r="Q32" s="1359"/>
      <c r="R32" s="1359"/>
    </row>
    <row r="33" spans="4:18">
      <c r="D33" s="1357"/>
      <c r="E33" s="1357"/>
      <c r="F33" s="1357"/>
      <c r="H33" s="1360"/>
      <c r="I33" s="1357"/>
      <c r="J33" s="1357"/>
      <c r="K33" s="1357"/>
      <c r="L33" s="1357"/>
      <c r="M33" s="1357"/>
      <c r="N33" s="1357"/>
      <c r="O33" s="1360"/>
      <c r="P33" s="1359"/>
      <c r="Q33" s="1359"/>
      <c r="R33" s="1359"/>
    </row>
    <row r="34" spans="4:18">
      <c r="D34" s="1357"/>
      <c r="E34" s="1357"/>
      <c r="F34" s="1357"/>
      <c r="H34" s="1360"/>
      <c r="I34" s="1357"/>
      <c r="J34" s="1357"/>
      <c r="K34" s="1357"/>
      <c r="L34" s="1357"/>
      <c r="M34" s="1357"/>
      <c r="N34" s="1357"/>
      <c r="O34" s="1360"/>
      <c r="P34" s="1359"/>
      <c r="Q34" s="1359"/>
      <c r="R34" s="1359"/>
    </row>
    <row r="35" spans="4:18">
      <c r="D35" s="1357"/>
      <c r="E35" s="1357"/>
      <c r="F35" s="1357"/>
      <c r="H35" s="1360"/>
      <c r="I35" s="1357"/>
      <c r="J35" s="1357"/>
      <c r="K35" s="1357"/>
      <c r="L35" s="1357"/>
      <c r="M35" s="1357"/>
      <c r="N35" s="1357"/>
      <c r="O35" s="1360"/>
      <c r="P35" s="1359"/>
      <c r="Q35" s="1359"/>
      <c r="R35" s="1359"/>
    </row>
    <row r="36" spans="4:18">
      <c r="D36" s="1357"/>
      <c r="E36" s="1357"/>
      <c r="F36" s="1357"/>
      <c r="H36" s="1360"/>
      <c r="I36" s="1357"/>
      <c r="J36" s="1357"/>
      <c r="K36" s="1357"/>
      <c r="L36" s="1357"/>
      <c r="M36" s="1357"/>
      <c r="N36" s="1357"/>
      <c r="O36" s="1360"/>
      <c r="P36" s="1359"/>
      <c r="Q36" s="1359"/>
      <c r="R36" s="1359"/>
    </row>
    <row r="37" spans="4:18">
      <c r="D37" s="1357"/>
      <c r="E37" s="1357"/>
      <c r="F37" s="1357"/>
      <c r="H37" s="1360"/>
      <c r="I37" s="1357"/>
      <c r="J37" s="1357"/>
      <c r="K37" s="1357"/>
      <c r="L37" s="1357"/>
      <c r="M37" s="1357"/>
      <c r="N37" s="1357"/>
      <c r="O37" s="1360"/>
      <c r="P37" s="1359"/>
      <c r="Q37" s="1359"/>
      <c r="R37" s="1359"/>
    </row>
    <row r="38" spans="4:18">
      <c r="D38" s="1357"/>
      <c r="E38" s="1357"/>
      <c r="F38" s="1357"/>
      <c r="H38" s="1360"/>
      <c r="I38" s="1357"/>
      <c r="J38" s="1357"/>
      <c r="K38" s="1357"/>
      <c r="L38" s="1357"/>
      <c r="M38" s="1357"/>
      <c r="N38" s="1357"/>
      <c r="O38" s="1360"/>
      <c r="P38" s="1359"/>
      <c r="Q38" s="1359"/>
      <c r="R38" s="1359"/>
    </row>
    <row r="39" spans="4:18">
      <c r="D39" s="1357"/>
      <c r="E39" s="1357"/>
      <c r="F39" s="1357"/>
      <c r="H39" s="1360"/>
      <c r="I39" s="1357"/>
      <c r="J39" s="1357"/>
      <c r="K39" s="1357"/>
      <c r="L39" s="1357"/>
      <c r="M39" s="1357"/>
      <c r="N39" s="1357"/>
      <c r="O39" s="1360"/>
      <c r="P39" s="1359"/>
      <c r="Q39" s="1359"/>
      <c r="R39" s="1359"/>
    </row>
    <row r="40" spans="4:18">
      <c r="D40" s="1357"/>
      <c r="E40" s="1357"/>
      <c r="F40" s="1357"/>
      <c r="H40" s="1360"/>
      <c r="I40" s="1357"/>
      <c r="J40" s="1357"/>
      <c r="K40" s="1357"/>
      <c r="L40" s="1357"/>
      <c r="M40" s="1357"/>
      <c r="N40" s="1357"/>
      <c r="O40" s="1360"/>
      <c r="P40" s="1359"/>
      <c r="Q40" s="1359"/>
      <c r="R40" s="1359"/>
    </row>
    <row r="41" spans="4:18">
      <c r="D41" s="1357"/>
      <c r="E41" s="1357"/>
      <c r="F41" s="1357"/>
      <c r="H41" s="1360"/>
      <c r="I41" s="1357"/>
      <c r="J41" s="1357"/>
      <c r="K41" s="1357"/>
      <c r="L41" s="1357"/>
      <c r="M41" s="1357"/>
      <c r="N41" s="1357"/>
      <c r="O41" s="1360"/>
      <c r="P41" s="1359"/>
      <c r="Q41" s="1359"/>
      <c r="R41" s="1359"/>
    </row>
    <row r="42" spans="4:18">
      <c r="D42" s="1357"/>
      <c r="E42" s="1357"/>
      <c r="F42" s="1357"/>
      <c r="H42" s="1360"/>
      <c r="I42" s="1357"/>
      <c r="J42" s="1357"/>
      <c r="K42" s="1357"/>
      <c r="L42" s="1357"/>
      <c r="M42" s="1357"/>
      <c r="N42" s="1357"/>
      <c r="O42" s="1360"/>
      <c r="P42" s="1359"/>
      <c r="Q42" s="1359"/>
      <c r="R42" s="1359"/>
    </row>
    <row r="43" spans="4:18">
      <c r="D43" s="1357"/>
      <c r="E43" s="1357"/>
      <c r="F43" s="1357"/>
      <c r="H43" s="1360"/>
      <c r="I43" s="1357"/>
      <c r="J43" s="1357"/>
      <c r="K43" s="1357"/>
      <c r="L43" s="1357"/>
      <c r="M43" s="1357"/>
      <c r="N43" s="1357"/>
      <c r="O43" s="1360"/>
      <c r="P43" s="1359"/>
      <c r="Q43" s="1359"/>
      <c r="R43" s="1359"/>
    </row>
    <row r="44" spans="4:18">
      <c r="D44" s="1357"/>
      <c r="E44" s="1357"/>
      <c r="F44" s="1357"/>
      <c r="H44" s="1360"/>
      <c r="I44" s="1357"/>
      <c r="J44" s="1357"/>
      <c r="K44" s="1357"/>
      <c r="L44" s="1357"/>
      <c r="M44" s="1357"/>
      <c r="N44" s="1357"/>
      <c r="O44" s="1360"/>
      <c r="P44" s="1359"/>
      <c r="Q44" s="1359"/>
      <c r="R44" s="1359"/>
    </row>
    <row r="45" spans="4:18">
      <c r="D45" s="1357"/>
      <c r="E45" s="1357"/>
      <c r="F45" s="1357"/>
      <c r="H45" s="1359"/>
      <c r="I45" s="1357"/>
      <c r="J45" s="1357"/>
      <c r="K45" s="1357"/>
      <c r="L45" s="1357"/>
      <c r="M45" s="1357"/>
      <c r="N45" s="1357"/>
      <c r="O45" s="1360"/>
      <c r="P45" s="1359"/>
      <c r="Q45" s="1359"/>
      <c r="R45" s="1359"/>
    </row>
    <row r="46" spans="4:18">
      <c r="D46" s="1357"/>
      <c r="E46" s="1357"/>
      <c r="F46" s="1357"/>
      <c r="H46" s="1359"/>
      <c r="I46" s="1357"/>
      <c r="J46" s="1357"/>
      <c r="K46" s="1357"/>
      <c r="L46" s="1357"/>
      <c r="M46" s="1357"/>
      <c r="N46" s="1357"/>
      <c r="O46" s="1360"/>
      <c r="P46" s="1359"/>
      <c r="Q46" s="1359"/>
      <c r="R46" s="1359"/>
    </row>
    <row r="47" spans="4:18">
      <c r="D47" s="1357"/>
      <c r="E47" s="1357"/>
      <c r="F47" s="1357"/>
      <c r="H47" s="1359"/>
      <c r="I47" s="1357"/>
      <c r="J47" s="1357"/>
      <c r="K47" s="1357"/>
      <c r="L47" s="1357"/>
      <c r="M47" s="1357"/>
      <c r="N47" s="1357"/>
      <c r="O47" s="1360"/>
      <c r="P47" s="1359"/>
      <c r="Q47" s="1359"/>
      <c r="R47" s="1359"/>
    </row>
    <row r="48" spans="4:18">
      <c r="D48" s="1357"/>
      <c r="E48" s="1357"/>
      <c r="F48" s="1357"/>
      <c r="H48" s="1359"/>
      <c r="I48" s="1357"/>
      <c r="J48" s="1357"/>
      <c r="K48" s="1357"/>
      <c r="L48" s="1357"/>
      <c r="M48" s="1357"/>
      <c r="N48" s="1357"/>
      <c r="O48" s="1360"/>
      <c r="P48" s="1359"/>
      <c r="Q48" s="1359"/>
      <c r="R48" s="1359"/>
    </row>
    <row r="49" spans="4:18">
      <c r="D49" s="1357"/>
      <c r="E49" s="1357"/>
      <c r="F49" s="1357"/>
      <c r="H49" s="1359"/>
      <c r="I49" s="1357"/>
      <c r="J49" s="1357"/>
      <c r="K49" s="1357"/>
      <c r="L49" s="1357"/>
      <c r="M49" s="1357"/>
      <c r="N49" s="1357"/>
      <c r="O49" s="1360"/>
      <c r="P49" s="1359"/>
      <c r="Q49" s="1359"/>
      <c r="R49" s="1359"/>
    </row>
    <row r="50" spans="4:18">
      <c r="D50" s="1357"/>
      <c r="E50" s="1357"/>
      <c r="F50" s="1357"/>
      <c r="H50" s="1359"/>
      <c r="I50" s="1357"/>
      <c r="J50" s="1357"/>
      <c r="K50" s="1357"/>
      <c r="L50" s="1357"/>
      <c r="M50" s="1357"/>
      <c r="N50" s="1357"/>
      <c r="O50" s="1360"/>
      <c r="P50" s="1359"/>
      <c r="Q50" s="1359"/>
      <c r="R50" s="1359"/>
    </row>
    <row r="51" spans="4:18">
      <c r="D51" s="1357"/>
      <c r="E51" s="1357"/>
      <c r="F51" s="1357"/>
      <c r="H51" s="1359"/>
      <c r="I51" s="1357"/>
      <c r="J51" s="1357"/>
      <c r="K51" s="1357"/>
      <c r="L51" s="1357"/>
      <c r="M51" s="1357"/>
      <c r="N51" s="1357"/>
      <c r="O51" s="1360"/>
      <c r="P51" s="1359"/>
      <c r="Q51" s="1359"/>
      <c r="R51" s="1359"/>
    </row>
    <row r="52" spans="4:18">
      <c r="D52" s="1357"/>
      <c r="E52" s="1357"/>
      <c r="F52" s="1357"/>
      <c r="H52" s="1359"/>
      <c r="I52" s="1359"/>
      <c r="J52" s="1359"/>
      <c r="K52" s="1359"/>
      <c r="L52" s="1359"/>
      <c r="M52" s="1359"/>
      <c r="N52" s="1359"/>
      <c r="O52" s="1360"/>
      <c r="P52" s="1359"/>
      <c r="Q52" s="1359"/>
      <c r="R52" s="1359"/>
    </row>
    <row r="53" spans="4:18">
      <c r="D53" s="1357"/>
      <c r="E53" s="1357"/>
      <c r="F53" s="1357"/>
      <c r="H53" s="1359"/>
      <c r="I53" s="1359"/>
      <c r="J53" s="1359"/>
      <c r="K53" s="1359"/>
      <c r="L53" s="1359"/>
      <c r="M53" s="1359"/>
      <c r="N53" s="1359"/>
      <c r="O53" s="1360"/>
      <c r="P53" s="1359"/>
      <c r="Q53" s="1359"/>
      <c r="R53" s="1359"/>
    </row>
    <row r="54" spans="4:18">
      <c r="D54" s="1357"/>
      <c r="E54" s="1357"/>
      <c r="F54" s="1357"/>
      <c r="H54" s="1359"/>
      <c r="I54" s="1359"/>
      <c r="J54" s="1359"/>
      <c r="K54" s="1359"/>
      <c r="L54" s="1359"/>
      <c r="M54" s="1359"/>
      <c r="N54" s="1359"/>
      <c r="O54" s="1360"/>
      <c r="P54" s="1359"/>
      <c r="Q54" s="1359"/>
      <c r="R54" s="1359"/>
    </row>
    <row r="55" spans="4:18">
      <c r="D55" s="1357"/>
      <c r="E55" s="1357"/>
      <c r="F55" s="1357"/>
      <c r="H55" s="1359"/>
      <c r="I55" s="1359"/>
      <c r="J55" s="1359"/>
      <c r="K55" s="1359"/>
      <c r="L55" s="1359"/>
      <c r="M55" s="1359"/>
      <c r="N55" s="1359"/>
      <c r="O55" s="1360"/>
      <c r="P55" s="1359"/>
      <c r="Q55" s="1359"/>
      <c r="R55" s="1359"/>
    </row>
    <row r="56" spans="4:18">
      <c r="D56" s="1357"/>
      <c r="E56" s="1357"/>
      <c r="F56" s="1357"/>
      <c r="H56" s="1359"/>
      <c r="I56" s="1359"/>
      <c r="J56" s="1359"/>
      <c r="K56" s="1359"/>
      <c r="L56" s="1359"/>
      <c r="M56" s="1359"/>
      <c r="N56" s="1359"/>
      <c r="O56" s="1360"/>
      <c r="P56" s="1359"/>
      <c r="Q56" s="1359"/>
      <c r="R56" s="1359"/>
    </row>
    <row r="57" spans="4:18">
      <c r="D57" s="1357"/>
      <c r="E57" s="1357"/>
      <c r="F57" s="1357"/>
      <c r="H57" s="1359"/>
      <c r="I57" s="1359"/>
      <c r="J57" s="1359"/>
      <c r="K57" s="1359"/>
      <c r="L57" s="1359"/>
      <c r="M57" s="1359"/>
      <c r="N57" s="1359"/>
      <c r="O57" s="1360"/>
      <c r="P57" s="1359"/>
      <c r="Q57" s="1359"/>
      <c r="R57" s="1359"/>
    </row>
    <row r="58" spans="4:18">
      <c r="D58" s="1357"/>
      <c r="E58" s="1357"/>
      <c r="F58" s="1357"/>
      <c r="H58" s="1359"/>
      <c r="I58" s="1359"/>
      <c r="J58" s="1359"/>
      <c r="K58" s="1359"/>
      <c r="L58" s="1359"/>
      <c r="M58" s="1359"/>
      <c r="N58" s="1359"/>
      <c r="O58" s="1360"/>
      <c r="P58" s="1359"/>
      <c r="Q58" s="1359"/>
      <c r="R58" s="1359"/>
    </row>
    <row r="59" spans="4:18">
      <c r="D59" s="1357"/>
      <c r="E59" s="1357"/>
      <c r="F59" s="1357"/>
      <c r="H59" s="1359"/>
      <c r="I59" s="1359"/>
      <c r="J59" s="1359"/>
      <c r="K59" s="1359"/>
      <c r="L59" s="1359"/>
      <c r="M59" s="1359"/>
      <c r="N59" s="1359"/>
      <c r="O59" s="1360"/>
      <c r="P59" s="1359"/>
      <c r="Q59" s="1359"/>
      <c r="R59" s="1359"/>
    </row>
    <row r="60" spans="4:18">
      <c r="D60" s="1357"/>
      <c r="E60" s="1357"/>
      <c r="F60" s="1357"/>
      <c r="H60" s="1359"/>
      <c r="I60" s="1359"/>
      <c r="J60" s="1359"/>
      <c r="K60" s="1359"/>
      <c r="L60" s="1359"/>
      <c r="M60" s="1359"/>
      <c r="N60" s="1359"/>
      <c r="O60" s="1360"/>
      <c r="P60" s="1359"/>
      <c r="Q60" s="1359"/>
      <c r="R60" s="1359"/>
    </row>
    <row r="61" spans="4:18">
      <c r="D61" s="1357"/>
      <c r="E61" s="1357"/>
      <c r="F61" s="1357"/>
      <c r="H61" s="1359"/>
      <c r="I61" s="1359"/>
      <c r="J61" s="1359"/>
      <c r="K61" s="1359"/>
      <c r="L61" s="1359"/>
      <c r="M61" s="1359"/>
      <c r="N61" s="1359"/>
      <c r="O61" s="1360"/>
      <c r="P61" s="1359"/>
      <c r="Q61" s="1359"/>
      <c r="R61" s="1359"/>
    </row>
    <row r="62" spans="4:18">
      <c r="D62" s="1357"/>
      <c r="E62" s="1357"/>
      <c r="F62" s="1357"/>
      <c r="H62" s="1359"/>
      <c r="I62" s="1359"/>
      <c r="J62" s="1359"/>
      <c r="K62" s="1359"/>
      <c r="L62" s="1359"/>
      <c r="M62" s="1359"/>
      <c r="N62" s="1359"/>
      <c r="O62" s="1360"/>
      <c r="P62" s="1359"/>
      <c r="Q62" s="1359"/>
      <c r="R62" s="1359"/>
    </row>
    <row r="63" spans="4:18">
      <c r="D63" s="1357"/>
      <c r="E63" s="1357"/>
      <c r="F63" s="1357"/>
      <c r="H63" s="1359"/>
      <c r="I63" s="1359"/>
      <c r="J63" s="1359"/>
      <c r="K63" s="1359"/>
      <c r="L63" s="1359"/>
      <c r="M63" s="1359"/>
      <c r="N63" s="1359"/>
      <c r="O63" s="1360"/>
      <c r="P63" s="1359"/>
      <c r="Q63" s="1359"/>
      <c r="R63" s="1359"/>
    </row>
    <row r="64" spans="4:18">
      <c r="D64" s="1357"/>
      <c r="E64" s="1357"/>
      <c r="F64" s="1357"/>
      <c r="H64" s="1359"/>
      <c r="I64" s="1359"/>
      <c r="J64" s="1359"/>
      <c r="K64" s="1359"/>
      <c r="L64" s="1359"/>
      <c r="M64" s="1359"/>
      <c r="N64" s="1359"/>
      <c r="O64" s="1360"/>
      <c r="P64" s="1359"/>
      <c r="Q64" s="1359"/>
      <c r="R64" s="1359"/>
    </row>
    <row r="65" spans="4:18">
      <c r="D65" s="1357"/>
      <c r="E65" s="1357"/>
      <c r="F65" s="1357"/>
      <c r="H65" s="1359"/>
      <c r="I65" s="1359"/>
      <c r="J65" s="1359"/>
      <c r="K65" s="1359"/>
      <c r="L65" s="1359"/>
      <c r="M65" s="1359"/>
      <c r="N65" s="1359"/>
      <c r="O65" s="1360"/>
      <c r="P65" s="1359"/>
      <c r="Q65" s="1359"/>
      <c r="R65" s="1359"/>
    </row>
    <row r="66" spans="4:18">
      <c r="D66" s="1357"/>
      <c r="E66" s="1357"/>
      <c r="F66" s="1357"/>
      <c r="H66" s="1359"/>
      <c r="I66" s="1359"/>
      <c r="J66" s="1359"/>
      <c r="K66" s="1359"/>
      <c r="L66" s="1359"/>
      <c r="M66" s="1359"/>
      <c r="N66" s="1359"/>
      <c r="O66" s="1360"/>
      <c r="P66" s="1359"/>
      <c r="Q66" s="1359"/>
      <c r="R66" s="1359"/>
    </row>
    <row r="67" spans="4:18">
      <c r="D67" s="1357"/>
      <c r="E67" s="1357"/>
      <c r="F67" s="1357"/>
      <c r="H67" s="1359"/>
      <c r="I67" s="1359"/>
      <c r="J67" s="1359"/>
      <c r="K67" s="1359"/>
      <c r="L67" s="1359"/>
      <c r="M67" s="1359"/>
      <c r="N67" s="1359"/>
      <c r="O67" s="1360"/>
      <c r="P67" s="1359"/>
      <c r="Q67" s="1359"/>
      <c r="R67" s="1359"/>
    </row>
    <row r="68" spans="4:18">
      <c r="D68" s="1357"/>
      <c r="E68" s="1357"/>
      <c r="F68" s="1357"/>
      <c r="H68" s="1359"/>
      <c r="I68" s="1359"/>
      <c r="J68" s="1359"/>
      <c r="K68" s="1359"/>
      <c r="L68" s="1359"/>
      <c r="M68" s="1359"/>
      <c r="N68" s="1359"/>
      <c r="O68" s="1360"/>
      <c r="P68" s="1359"/>
      <c r="Q68" s="1359"/>
      <c r="R68" s="1359"/>
    </row>
    <row r="69" spans="4:18">
      <c r="D69" s="1357"/>
      <c r="E69" s="1357"/>
      <c r="F69" s="1357"/>
      <c r="H69" s="1359"/>
      <c r="I69" s="1359"/>
      <c r="J69" s="1359"/>
      <c r="K69" s="1359"/>
      <c r="L69" s="1359"/>
      <c r="M69" s="1359"/>
      <c r="N69" s="1359"/>
      <c r="O69" s="1360"/>
      <c r="P69" s="1359"/>
      <c r="Q69" s="1359"/>
      <c r="R69" s="1359"/>
    </row>
    <row r="70" spans="4:18">
      <c r="D70" s="1357"/>
      <c r="E70" s="1357"/>
      <c r="F70" s="1357"/>
      <c r="H70" s="1359"/>
      <c r="I70" s="1359"/>
      <c r="J70" s="1359"/>
      <c r="K70" s="1359"/>
      <c r="L70" s="1359"/>
      <c r="M70" s="1359"/>
      <c r="N70" s="1359"/>
      <c r="O70" s="1360"/>
      <c r="P70" s="1359"/>
      <c r="Q70" s="1359"/>
      <c r="R70" s="1359"/>
    </row>
    <row r="71" spans="4:18">
      <c r="D71" s="1357"/>
      <c r="E71" s="1357"/>
      <c r="F71" s="1357"/>
      <c r="H71" s="1359"/>
      <c r="I71" s="1359"/>
      <c r="J71" s="1359"/>
      <c r="K71" s="1359"/>
      <c r="L71" s="1359"/>
      <c r="M71" s="1359"/>
      <c r="N71" s="1359"/>
      <c r="O71" s="1360"/>
      <c r="P71" s="1359"/>
      <c r="Q71" s="1359"/>
      <c r="R71" s="1359"/>
    </row>
    <row r="72" spans="4:18">
      <c r="D72" s="1357"/>
      <c r="E72" s="1357"/>
      <c r="F72" s="1357"/>
      <c r="H72" s="1359"/>
      <c r="I72" s="1359"/>
      <c r="J72" s="1359"/>
      <c r="K72" s="1359"/>
      <c r="L72" s="1359"/>
      <c r="M72" s="1359"/>
      <c r="N72" s="1359"/>
      <c r="O72" s="1360"/>
      <c r="P72" s="1359"/>
      <c r="Q72" s="1359"/>
      <c r="R72" s="1359"/>
    </row>
    <row r="73" spans="4:18">
      <c r="D73" s="1357"/>
      <c r="E73" s="1357"/>
      <c r="F73" s="1357"/>
      <c r="H73" s="1359"/>
      <c r="I73" s="1359"/>
      <c r="J73" s="1359"/>
      <c r="K73" s="1359"/>
      <c r="L73" s="1359"/>
      <c r="M73" s="1359"/>
      <c r="N73" s="1359"/>
      <c r="O73" s="1360"/>
      <c r="P73" s="1359"/>
      <c r="Q73" s="1359"/>
      <c r="R73" s="1359"/>
    </row>
    <row r="74" spans="4:18">
      <c r="D74" s="1357"/>
      <c r="E74" s="1357"/>
      <c r="F74" s="1357"/>
      <c r="H74" s="1359"/>
      <c r="I74" s="1359"/>
      <c r="J74" s="1359"/>
      <c r="K74" s="1359"/>
      <c r="L74" s="1359"/>
      <c r="M74" s="1359"/>
      <c r="N74" s="1359"/>
      <c r="O74" s="1360"/>
      <c r="P74" s="1359"/>
      <c r="Q74" s="1359"/>
      <c r="R74" s="1359"/>
    </row>
    <row r="75" spans="4:18">
      <c r="D75" s="1357"/>
      <c r="E75" s="1357"/>
      <c r="F75" s="1357"/>
      <c r="H75" s="1359"/>
      <c r="I75" s="1359"/>
      <c r="J75" s="1359"/>
      <c r="K75" s="1359"/>
      <c r="L75" s="1359"/>
      <c r="M75" s="1359"/>
      <c r="N75" s="1359"/>
      <c r="O75" s="1360"/>
      <c r="P75" s="1359"/>
      <c r="Q75" s="1359"/>
      <c r="R75" s="1359"/>
    </row>
    <row r="76" spans="4:18">
      <c r="D76" s="1357"/>
      <c r="E76" s="1357"/>
      <c r="F76" s="1357"/>
      <c r="H76" s="1359"/>
      <c r="I76" s="1359"/>
      <c r="J76" s="1359"/>
      <c r="K76" s="1359"/>
      <c r="L76" s="1359"/>
      <c r="M76" s="1359"/>
      <c r="N76" s="1359"/>
      <c r="O76" s="1360"/>
      <c r="P76" s="1359"/>
      <c r="Q76" s="1359"/>
      <c r="R76" s="1359"/>
    </row>
    <row r="77" spans="4:18">
      <c r="D77" s="1357"/>
      <c r="E77" s="1357"/>
      <c r="F77" s="1357"/>
      <c r="H77" s="1359"/>
      <c r="I77" s="1359"/>
      <c r="J77" s="1359"/>
      <c r="K77" s="1359"/>
      <c r="L77" s="1359"/>
      <c r="M77" s="1359"/>
      <c r="N77" s="1359"/>
      <c r="O77" s="1360"/>
      <c r="P77" s="1359"/>
      <c r="Q77" s="1359"/>
      <c r="R77" s="1359"/>
    </row>
    <row r="78" spans="4:18">
      <c r="D78" s="1357"/>
      <c r="E78" s="1357"/>
      <c r="F78" s="1357"/>
      <c r="H78" s="1359"/>
      <c r="I78" s="1359"/>
      <c r="J78" s="1359"/>
      <c r="K78" s="1359"/>
      <c r="L78" s="1359"/>
      <c r="M78" s="1359"/>
      <c r="N78" s="1359"/>
      <c r="O78" s="1360"/>
      <c r="P78" s="1359"/>
      <c r="Q78" s="1359"/>
      <c r="R78" s="1359"/>
    </row>
    <row r="79" spans="4:18">
      <c r="D79" s="1357"/>
      <c r="E79" s="1357"/>
      <c r="F79" s="1357"/>
      <c r="H79" s="1359"/>
      <c r="I79" s="1359"/>
      <c r="J79" s="1359"/>
      <c r="K79" s="1359"/>
      <c r="L79" s="1359"/>
      <c r="M79" s="1359"/>
      <c r="N79" s="1359"/>
      <c r="O79" s="1360"/>
      <c r="P79" s="1359"/>
      <c r="Q79" s="1359"/>
      <c r="R79" s="1359"/>
    </row>
    <row r="80" spans="4:18">
      <c r="D80" s="1357"/>
      <c r="E80" s="1357"/>
      <c r="F80" s="1357"/>
      <c r="H80" s="1359"/>
      <c r="I80" s="1359"/>
      <c r="J80" s="1359"/>
      <c r="K80" s="1359"/>
      <c r="L80" s="1359"/>
      <c r="M80" s="1359"/>
      <c r="N80" s="1359"/>
      <c r="O80" s="1360"/>
      <c r="P80" s="1359"/>
      <c r="Q80" s="1359"/>
      <c r="R80" s="1359"/>
    </row>
    <row r="81" spans="4:18">
      <c r="D81" s="1357"/>
      <c r="E81" s="1357"/>
      <c r="F81" s="1357"/>
      <c r="H81" s="1359"/>
      <c r="I81" s="1359"/>
      <c r="J81" s="1359"/>
      <c r="K81" s="1359"/>
      <c r="L81" s="1359"/>
      <c r="M81" s="1359"/>
      <c r="N81" s="1359"/>
      <c r="O81" s="1360"/>
      <c r="P81" s="1359"/>
      <c r="Q81" s="1359"/>
      <c r="R81" s="1359"/>
    </row>
    <row r="82" spans="4:18">
      <c r="D82" s="1357"/>
      <c r="E82" s="1357"/>
      <c r="F82" s="1357"/>
      <c r="H82" s="1359"/>
      <c r="I82" s="1359"/>
      <c r="J82" s="1359"/>
      <c r="K82" s="1359"/>
      <c r="L82" s="1359"/>
      <c r="M82" s="1359"/>
      <c r="N82" s="1359"/>
      <c r="O82" s="1360"/>
      <c r="P82" s="1359"/>
      <c r="Q82" s="1359"/>
      <c r="R82" s="1359"/>
    </row>
    <row r="83" spans="4:18">
      <c r="D83" s="1357"/>
      <c r="E83" s="1357"/>
      <c r="F83" s="1357"/>
      <c r="H83" s="1359"/>
      <c r="I83" s="1359"/>
      <c r="J83" s="1359"/>
      <c r="K83" s="1359"/>
      <c r="L83" s="1359"/>
      <c r="M83" s="1359"/>
      <c r="N83" s="1359"/>
      <c r="O83" s="1360"/>
      <c r="P83" s="1359"/>
      <c r="Q83" s="1359"/>
      <c r="R83" s="1359"/>
    </row>
    <row r="84" spans="4:18">
      <c r="D84" s="1357"/>
      <c r="E84" s="1357"/>
      <c r="F84" s="1357"/>
      <c r="H84" s="1359"/>
      <c r="I84" s="1359"/>
      <c r="J84" s="1359"/>
      <c r="K84" s="1359"/>
      <c r="L84" s="1359"/>
      <c r="M84" s="1359"/>
      <c r="N84" s="1359"/>
      <c r="O84" s="1360"/>
      <c r="P84" s="1359"/>
      <c r="Q84" s="1359"/>
      <c r="R84" s="1359"/>
    </row>
    <row r="85" spans="4:18">
      <c r="D85" s="1357"/>
      <c r="E85" s="1357"/>
      <c r="F85" s="1357"/>
      <c r="H85" s="1359"/>
      <c r="I85" s="1359"/>
      <c r="J85" s="1359"/>
      <c r="K85" s="1359"/>
      <c r="L85" s="1359"/>
      <c r="M85" s="1359"/>
      <c r="N85" s="1359"/>
      <c r="O85" s="1360"/>
      <c r="P85" s="1359"/>
      <c r="Q85" s="1359"/>
      <c r="R85" s="1359"/>
    </row>
    <row r="86" spans="4:18">
      <c r="D86" s="1357"/>
      <c r="E86" s="1357"/>
      <c r="F86" s="1357"/>
      <c r="H86" s="1359"/>
      <c r="I86" s="1359"/>
      <c r="J86" s="1359"/>
      <c r="K86" s="1359"/>
      <c r="L86" s="1359"/>
      <c r="M86" s="1359"/>
      <c r="N86" s="1359"/>
      <c r="O86" s="1360"/>
      <c r="P86" s="1359"/>
      <c r="Q86" s="1359"/>
      <c r="R86" s="1359"/>
    </row>
    <row r="87" spans="4:18">
      <c r="D87" s="1357"/>
      <c r="E87" s="1357"/>
      <c r="F87" s="1357"/>
      <c r="H87" s="1359"/>
      <c r="I87" s="1359"/>
      <c r="J87" s="1359"/>
      <c r="K87" s="1359"/>
      <c r="L87" s="1359"/>
      <c r="M87" s="1359"/>
      <c r="N87" s="1359"/>
      <c r="O87" s="1360"/>
      <c r="P87" s="1359"/>
      <c r="Q87" s="1359"/>
      <c r="R87" s="1359"/>
    </row>
    <row r="88" spans="4:18">
      <c r="D88" s="1357"/>
      <c r="E88" s="1357"/>
      <c r="F88" s="1357"/>
      <c r="H88" s="1359"/>
      <c r="I88" s="1359"/>
      <c r="J88" s="1359"/>
      <c r="K88" s="1359"/>
      <c r="L88" s="1359"/>
      <c r="M88" s="1359"/>
      <c r="N88" s="1359"/>
      <c r="O88" s="1360"/>
      <c r="P88" s="1359"/>
      <c r="Q88" s="1359"/>
      <c r="R88" s="1359"/>
    </row>
    <row r="89" spans="4:18">
      <c r="D89" s="1357"/>
      <c r="E89" s="1357"/>
      <c r="F89" s="1357"/>
      <c r="H89" s="1359"/>
      <c r="I89" s="1359"/>
      <c r="J89" s="1359"/>
      <c r="K89" s="1359"/>
      <c r="L89" s="1359"/>
      <c r="M89" s="1359"/>
      <c r="N89" s="1359"/>
      <c r="O89" s="1360"/>
      <c r="P89" s="1359"/>
      <c r="Q89" s="1359"/>
      <c r="R89" s="1359"/>
    </row>
    <row r="90" spans="4:18">
      <c r="D90" s="1357"/>
      <c r="E90" s="1357"/>
      <c r="F90" s="1357"/>
      <c r="H90" s="1359"/>
      <c r="I90" s="1359"/>
      <c r="J90" s="1359"/>
      <c r="K90" s="1359"/>
      <c r="L90" s="1359"/>
      <c r="M90" s="1359"/>
      <c r="N90" s="1359"/>
      <c r="O90" s="1360"/>
      <c r="P90" s="1359"/>
      <c r="Q90" s="1359"/>
      <c r="R90" s="1359"/>
    </row>
    <row r="91" spans="4:18">
      <c r="D91" s="1357"/>
      <c r="E91" s="1357"/>
      <c r="F91" s="1357"/>
      <c r="H91" s="1359"/>
      <c r="I91" s="1359"/>
      <c r="J91" s="1359"/>
      <c r="K91" s="1359"/>
      <c r="L91" s="1359"/>
      <c r="M91" s="1359"/>
      <c r="N91" s="1359"/>
      <c r="O91" s="1360"/>
      <c r="P91" s="1359"/>
      <c r="Q91" s="1359"/>
      <c r="R91" s="1359"/>
    </row>
    <row r="92" spans="4:18">
      <c r="D92" s="1357"/>
      <c r="E92" s="1357"/>
      <c r="F92" s="1357"/>
      <c r="H92" s="1359"/>
      <c r="I92" s="1359"/>
      <c r="J92" s="1359"/>
      <c r="K92" s="1359"/>
      <c r="L92" s="1359"/>
      <c r="M92" s="1359"/>
      <c r="N92" s="1359"/>
      <c r="O92" s="1360"/>
      <c r="P92" s="1359"/>
      <c r="Q92" s="1359"/>
      <c r="R92" s="1359"/>
    </row>
    <row r="93" spans="4:18">
      <c r="D93" s="1357"/>
      <c r="E93" s="1357"/>
      <c r="F93" s="1357"/>
      <c r="H93" s="1359"/>
      <c r="I93" s="1359"/>
      <c r="J93" s="1359"/>
      <c r="K93" s="1359"/>
      <c r="L93" s="1359"/>
      <c r="M93" s="1359"/>
      <c r="N93" s="1359"/>
      <c r="O93" s="1360"/>
      <c r="P93" s="1359"/>
      <c r="Q93" s="1359"/>
      <c r="R93" s="1359"/>
    </row>
    <row r="94" spans="4:18">
      <c r="D94" s="1357"/>
      <c r="E94" s="1357"/>
      <c r="F94" s="1357"/>
      <c r="H94" s="1359"/>
      <c r="I94" s="1359"/>
      <c r="J94" s="1359"/>
      <c r="K94" s="1359"/>
      <c r="L94" s="1359"/>
      <c r="M94" s="1359"/>
      <c r="N94" s="1359"/>
      <c r="O94" s="1360"/>
      <c r="P94" s="1359"/>
      <c r="Q94" s="1359"/>
      <c r="R94" s="1359"/>
    </row>
    <row r="95" spans="4:18">
      <c r="D95" s="1357"/>
      <c r="E95" s="1357"/>
      <c r="F95" s="1357"/>
      <c r="H95" s="1359"/>
      <c r="I95" s="1359"/>
      <c r="J95" s="1359"/>
      <c r="K95" s="1359"/>
      <c r="L95" s="1359"/>
      <c r="M95" s="1359"/>
      <c r="N95" s="1359"/>
      <c r="O95" s="1360"/>
      <c r="P95" s="1359"/>
      <c r="Q95" s="1359"/>
      <c r="R95" s="1359"/>
    </row>
    <row r="96" spans="4:18">
      <c r="D96" s="1357"/>
      <c r="E96" s="1357"/>
      <c r="F96" s="1357"/>
      <c r="H96" s="1359"/>
      <c r="I96" s="1359"/>
      <c r="J96" s="1359"/>
      <c r="K96" s="1359"/>
      <c r="L96" s="1359"/>
      <c r="M96" s="1359"/>
      <c r="N96" s="1359"/>
      <c r="O96" s="1360"/>
      <c r="P96" s="1359"/>
      <c r="Q96" s="1359"/>
      <c r="R96" s="1359"/>
    </row>
    <row r="97" spans="4:18">
      <c r="D97" s="1357"/>
      <c r="E97" s="1357"/>
      <c r="F97" s="1357"/>
      <c r="H97" s="1359"/>
      <c r="I97" s="1359"/>
      <c r="J97" s="1359"/>
      <c r="K97" s="1359"/>
      <c r="L97" s="1359"/>
      <c r="M97" s="1359"/>
      <c r="N97" s="1359"/>
      <c r="O97" s="1360"/>
      <c r="P97" s="1359"/>
      <c r="Q97" s="1359"/>
      <c r="R97" s="1359"/>
    </row>
    <row r="98" spans="4:18">
      <c r="D98" s="1357"/>
      <c r="E98" s="1357"/>
      <c r="F98" s="1357"/>
      <c r="H98" s="1359"/>
      <c r="I98" s="1359"/>
      <c r="J98" s="1359"/>
      <c r="K98" s="1359"/>
      <c r="L98" s="1359"/>
      <c r="M98" s="1359"/>
      <c r="N98" s="1359"/>
      <c r="O98" s="1360"/>
      <c r="P98" s="1359"/>
      <c r="Q98" s="1359"/>
      <c r="R98" s="1359"/>
    </row>
    <row r="99" spans="4:18">
      <c r="D99" s="1357"/>
      <c r="E99" s="1357"/>
      <c r="F99" s="1357"/>
      <c r="H99" s="1359"/>
      <c r="I99" s="1359"/>
      <c r="J99" s="1359"/>
      <c r="K99" s="1359"/>
      <c r="L99" s="1359"/>
      <c r="M99" s="1359"/>
      <c r="N99" s="1359"/>
      <c r="O99" s="1360"/>
      <c r="P99" s="1359"/>
      <c r="Q99" s="1359"/>
      <c r="R99" s="1359"/>
    </row>
    <row r="100" spans="4:18">
      <c r="D100" s="1357"/>
      <c r="E100" s="1357"/>
      <c r="F100" s="1357"/>
      <c r="H100" s="1359"/>
      <c r="I100" s="1359"/>
      <c r="J100" s="1359"/>
      <c r="K100" s="1359"/>
      <c r="L100" s="1359"/>
      <c r="M100" s="1359"/>
      <c r="N100" s="1359"/>
      <c r="O100" s="1360"/>
      <c r="P100" s="1359"/>
      <c r="Q100" s="1359"/>
      <c r="R100" s="1359"/>
    </row>
    <row r="101" spans="4:18">
      <c r="D101" s="1357"/>
      <c r="E101" s="1357"/>
      <c r="F101" s="1357"/>
      <c r="H101" s="1359"/>
      <c r="I101" s="1359"/>
      <c r="J101" s="1359"/>
      <c r="K101" s="1359"/>
      <c r="L101" s="1359"/>
      <c r="M101" s="1359"/>
      <c r="N101" s="1359"/>
      <c r="O101" s="1360"/>
      <c r="P101" s="1359"/>
      <c r="Q101" s="1359"/>
      <c r="R101" s="1359"/>
    </row>
    <row r="102" spans="4:18">
      <c r="D102" s="1357"/>
      <c r="E102" s="1357"/>
      <c r="F102" s="1357"/>
      <c r="H102" s="1359"/>
      <c r="I102" s="1359"/>
      <c r="J102" s="1359"/>
      <c r="K102" s="1359"/>
      <c r="L102" s="1359"/>
      <c r="M102" s="1359"/>
      <c r="N102" s="1359"/>
      <c r="O102" s="1360"/>
      <c r="P102" s="1359"/>
      <c r="Q102" s="1359"/>
      <c r="R102" s="1359"/>
    </row>
    <row r="103" spans="4:18">
      <c r="D103" s="1357"/>
      <c r="E103" s="1357"/>
      <c r="F103" s="1357"/>
      <c r="H103" s="1359"/>
      <c r="I103" s="1359"/>
      <c r="J103" s="1359"/>
      <c r="K103" s="1359"/>
      <c r="L103" s="1359"/>
      <c r="M103" s="1359"/>
      <c r="N103" s="1359"/>
      <c r="O103" s="1360"/>
      <c r="P103" s="1359"/>
      <c r="Q103" s="1359"/>
      <c r="R103" s="1359"/>
    </row>
    <row r="104" spans="4:18">
      <c r="D104" s="1357"/>
      <c r="E104" s="1357"/>
      <c r="F104" s="1357"/>
      <c r="H104" s="1359"/>
      <c r="I104" s="1359"/>
      <c r="J104" s="1359"/>
      <c r="K104" s="1359"/>
      <c r="L104" s="1359"/>
      <c r="M104" s="1359"/>
      <c r="N104" s="1359"/>
      <c r="O104" s="1360"/>
      <c r="P104" s="1359"/>
      <c r="Q104" s="1359"/>
      <c r="R104" s="1359"/>
    </row>
    <row r="105" spans="4:18">
      <c r="D105" s="1357"/>
      <c r="E105" s="1357"/>
      <c r="F105" s="1357"/>
      <c r="H105" s="1359"/>
      <c r="I105" s="1359"/>
      <c r="J105" s="1359"/>
      <c r="K105" s="1359"/>
      <c r="L105" s="1359"/>
      <c r="M105" s="1359"/>
      <c r="N105" s="1359"/>
      <c r="O105" s="1360"/>
      <c r="P105" s="1359"/>
      <c r="Q105" s="1359"/>
      <c r="R105" s="1359"/>
    </row>
    <row r="106" spans="4:18">
      <c r="D106" s="1357"/>
      <c r="E106" s="1357"/>
      <c r="F106" s="1357"/>
      <c r="H106" s="1359"/>
      <c r="I106" s="1359"/>
      <c r="J106" s="1359"/>
      <c r="K106" s="1359"/>
      <c r="L106" s="1359"/>
      <c r="M106" s="1359"/>
      <c r="N106" s="1359"/>
      <c r="O106" s="1360"/>
      <c r="P106" s="1359"/>
      <c r="Q106" s="1359"/>
      <c r="R106" s="1359"/>
    </row>
    <row r="107" spans="4:18">
      <c r="D107" s="1357"/>
      <c r="E107" s="1357"/>
      <c r="F107" s="1357"/>
      <c r="H107" s="1359"/>
      <c r="I107" s="1359"/>
      <c r="J107" s="1359"/>
      <c r="K107" s="1359"/>
      <c r="L107" s="1359"/>
      <c r="M107" s="1359"/>
      <c r="N107" s="1359"/>
      <c r="O107" s="1360"/>
      <c r="P107" s="1359"/>
      <c r="Q107" s="1359"/>
      <c r="R107" s="1359"/>
    </row>
    <row r="108" spans="4:18">
      <c r="D108" s="1357"/>
      <c r="E108" s="1357"/>
      <c r="F108" s="1357"/>
      <c r="H108" s="1359"/>
      <c r="I108" s="1359"/>
      <c r="J108" s="1359"/>
      <c r="K108" s="1359"/>
      <c r="L108" s="1359"/>
      <c r="M108" s="1359"/>
      <c r="N108" s="1359"/>
      <c r="O108" s="1360"/>
      <c r="P108" s="1359"/>
      <c r="Q108" s="1359"/>
      <c r="R108" s="1359"/>
    </row>
    <row r="109" spans="4:18">
      <c r="D109" s="1357"/>
      <c r="E109" s="1357"/>
      <c r="F109" s="1357"/>
      <c r="H109" s="1359"/>
      <c r="I109" s="1359"/>
      <c r="J109" s="1359"/>
      <c r="K109" s="1359"/>
      <c r="L109" s="1359"/>
      <c r="M109" s="1359"/>
      <c r="N109" s="1359"/>
      <c r="O109" s="1360"/>
      <c r="P109" s="1359"/>
      <c r="Q109" s="1359"/>
      <c r="R109" s="1359"/>
    </row>
    <row r="110" spans="4:18">
      <c r="D110" s="1357"/>
      <c r="E110" s="1357"/>
      <c r="F110" s="1357"/>
      <c r="H110" s="1359"/>
      <c r="I110" s="1359"/>
      <c r="J110" s="1359"/>
      <c r="K110" s="1359"/>
      <c r="L110" s="1359"/>
      <c r="M110" s="1359"/>
      <c r="N110" s="1359"/>
      <c r="O110" s="1360"/>
      <c r="P110" s="1359"/>
      <c r="Q110" s="1359"/>
      <c r="R110" s="1359"/>
    </row>
    <row r="111" spans="4:18">
      <c r="D111" s="1357"/>
      <c r="E111" s="1357"/>
      <c r="F111" s="1357"/>
      <c r="H111" s="1359"/>
      <c r="I111" s="1359"/>
      <c r="J111" s="1359"/>
      <c r="K111" s="1359"/>
      <c r="L111" s="1359"/>
      <c r="M111" s="1359"/>
      <c r="N111" s="1359"/>
      <c r="O111" s="1360"/>
      <c r="P111" s="1359"/>
      <c r="Q111" s="1359"/>
      <c r="R111" s="1359"/>
    </row>
    <row r="112" spans="4:18">
      <c r="D112" s="1357"/>
      <c r="E112" s="1357"/>
      <c r="F112" s="1357"/>
      <c r="H112" s="1359"/>
      <c r="I112" s="1359"/>
      <c r="J112" s="1359"/>
      <c r="K112" s="1359"/>
      <c r="L112" s="1359"/>
      <c r="M112" s="1359"/>
      <c r="N112" s="1359"/>
      <c r="O112" s="1360"/>
      <c r="P112" s="1359"/>
      <c r="Q112" s="1359"/>
      <c r="R112" s="1359"/>
    </row>
    <row r="113" spans="4:18">
      <c r="D113" s="1357"/>
      <c r="E113" s="1357"/>
      <c r="F113" s="1357"/>
      <c r="H113" s="1359"/>
      <c r="I113" s="1359"/>
      <c r="J113" s="1359"/>
      <c r="K113" s="1359"/>
      <c r="L113" s="1359"/>
      <c r="M113" s="1359"/>
      <c r="N113" s="1359"/>
      <c r="O113" s="1360"/>
      <c r="P113" s="1359"/>
      <c r="Q113" s="1359"/>
      <c r="R113" s="1359"/>
    </row>
    <row r="114" spans="4:18">
      <c r="D114" s="1357"/>
      <c r="E114" s="1357"/>
      <c r="F114" s="1357"/>
      <c r="H114" s="1359"/>
      <c r="I114" s="1359"/>
      <c r="J114" s="1359"/>
      <c r="K114" s="1359"/>
      <c r="L114" s="1359"/>
      <c r="M114" s="1359"/>
      <c r="N114" s="1359"/>
      <c r="O114" s="1360"/>
      <c r="P114" s="1359"/>
      <c r="Q114" s="1359"/>
      <c r="R114" s="1359"/>
    </row>
    <row r="115" spans="4:18">
      <c r="D115" s="1357"/>
      <c r="E115" s="1357"/>
      <c r="F115" s="1357"/>
      <c r="H115" s="1359"/>
      <c r="I115" s="1359"/>
      <c r="J115" s="1359"/>
      <c r="K115" s="1359"/>
      <c r="L115" s="1359"/>
      <c r="M115" s="1359"/>
      <c r="N115" s="1359"/>
      <c r="O115" s="1360"/>
      <c r="P115" s="1359"/>
      <c r="Q115" s="1359"/>
      <c r="R115" s="1359"/>
    </row>
    <row r="116" spans="4:18">
      <c r="D116" s="1357"/>
      <c r="E116" s="1357"/>
      <c r="F116" s="1357"/>
      <c r="H116" s="1359"/>
      <c r="I116" s="1359"/>
      <c r="J116" s="1359"/>
      <c r="K116" s="1359"/>
      <c r="L116" s="1359"/>
      <c r="M116" s="1359"/>
      <c r="N116" s="1359"/>
      <c r="O116" s="1360"/>
      <c r="P116" s="1359"/>
      <c r="Q116" s="1359"/>
      <c r="R116" s="1359"/>
    </row>
    <row r="117" spans="4:18">
      <c r="D117" s="1357"/>
      <c r="E117" s="1357"/>
      <c r="F117" s="1357"/>
      <c r="H117" s="1359"/>
      <c r="I117" s="1359"/>
      <c r="J117" s="1359"/>
      <c r="K117" s="1359"/>
      <c r="L117" s="1359"/>
      <c r="M117" s="1359"/>
      <c r="N117" s="1359"/>
      <c r="O117" s="1360"/>
      <c r="P117" s="1359"/>
      <c r="Q117" s="1359"/>
      <c r="R117" s="1359"/>
    </row>
    <row r="118" spans="4:18">
      <c r="D118" s="1357"/>
      <c r="E118" s="1357"/>
      <c r="F118" s="1357"/>
      <c r="H118" s="1359"/>
      <c r="I118" s="1359"/>
      <c r="J118" s="1359"/>
      <c r="K118" s="1359"/>
      <c r="L118" s="1359"/>
      <c r="M118" s="1359"/>
      <c r="N118" s="1359"/>
      <c r="O118" s="1360"/>
      <c r="P118" s="1359"/>
      <c r="Q118" s="1359"/>
      <c r="R118" s="1359"/>
    </row>
    <row r="119" spans="4:18">
      <c r="D119" s="1357"/>
      <c r="E119" s="1357"/>
      <c r="F119" s="1357"/>
      <c r="H119" s="1359"/>
      <c r="I119" s="1359"/>
      <c r="J119" s="1359"/>
      <c r="K119" s="1359"/>
      <c r="L119" s="1359"/>
      <c r="M119" s="1359"/>
      <c r="N119" s="1359"/>
      <c r="O119" s="1360"/>
      <c r="P119" s="1359"/>
      <c r="Q119" s="1359"/>
      <c r="R119" s="1359"/>
    </row>
    <row r="120" spans="4:18">
      <c r="D120" s="1357"/>
      <c r="E120" s="1357"/>
      <c r="F120" s="1357"/>
      <c r="H120" s="1359"/>
      <c r="I120" s="1359"/>
      <c r="J120" s="1359"/>
      <c r="K120" s="1359"/>
      <c r="L120" s="1359"/>
      <c r="M120" s="1359"/>
      <c r="N120" s="1359"/>
      <c r="O120" s="1360"/>
      <c r="P120" s="1359"/>
      <c r="Q120" s="1359"/>
      <c r="R120" s="1359"/>
    </row>
    <row r="121" spans="4:18">
      <c r="D121" s="1357"/>
      <c r="E121" s="1357"/>
      <c r="F121" s="1357"/>
      <c r="H121" s="1359"/>
      <c r="I121" s="1359"/>
      <c r="J121" s="1359"/>
      <c r="K121" s="1359"/>
      <c r="L121" s="1359"/>
      <c r="M121" s="1359"/>
      <c r="N121" s="1359"/>
      <c r="O121" s="1360"/>
      <c r="P121" s="1359"/>
      <c r="Q121" s="1359"/>
      <c r="R121" s="1359"/>
    </row>
    <row r="122" spans="4:18">
      <c r="D122" s="1357"/>
      <c r="E122" s="1357"/>
      <c r="F122" s="1357"/>
      <c r="H122" s="1359"/>
      <c r="I122" s="1359"/>
      <c r="J122" s="1359"/>
      <c r="K122" s="1359"/>
      <c r="L122" s="1359"/>
      <c r="M122" s="1359"/>
      <c r="N122" s="1359"/>
      <c r="O122" s="1360"/>
      <c r="P122" s="1359"/>
      <c r="Q122" s="1359"/>
      <c r="R122" s="1359"/>
    </row>
    <row r="123" spans="4:18">
      <c r="D123" s="1357"/>
      <c r="E123" s="1357"/>
      <c r="F123" s="1357"/>
      <c r="H123" s="1359"/>
      <c r="I123" s="1359"/>
      <c r="J123" s="1359"/>
      <c r="K123" s="1359"/>
      <c r="L123" s="1359"/>
      <c r="M123" s="1359"/>
      <c r="N123" s="1359"/>
      <c r="O123" s="1360"/>
      <c r="P123" s="1359"/>
      <c r="Q123" s="1359"/>
      <c r="R123" s="1359"/>
    </row>
    <row r="124" spans="4:18">
      <c r="D124" s="1357"/>
      <c r="E124" s="1357"/>
      <c r="F124" s="1357"/>
      <c r="H124" s="1359"/>
      <c r="I124" s="1359"/>
      <c r="J124" s="1359"/>
      <c r="K124" s="1359"/>
      <c r="L124" s="1359"/>
      <c r="M124" s="1359"/>
      <c r="N124" s="1359"/>
      <c r="O124" s="1360"/>
      <c r="P124" s="1359"/>
      <c r="Q124" s="1359"/>
      <c r="R124" s="1359"/>
    </row>
    <row r="125" spans="4:18">
      <c r="D125" s="1357"/>
      <c r="E125" s="1357"/>
      <c r="F125" s="1357"/>
      <c r="H125" s="1359"/>
      <c r="I125" s="1359"/>
      <c r="J125" s="1359"/>
      <c r="K125" s="1359"/>
      <c r="L125" s="1359"/>
      <c r="M125" s="1359"/>
      <c r="N125" s="1359"/>
      <c r="O125" s="1360"/>
      <c r="P125" s="1359"/>
      <c r="Q125" s="1359"/>
      <c r="R125" s="1359"/>
    </row>
    <row r="126" spans="4:18">
      <c r="D126" s="1357"/>
      <c r="E126" s="1357"/>
      <c r="F126" s="1357"/>
      <c r="H126" s="1359"/>
      <c r="I126" s="1359"/>
      <c r="J126" s="1359"/>
      <c r="K126" s="1359"/>
      <c r="L126" s="1359"/>
      <c r="M126" s="1359"/>
      <c r="N126" s="1359"/>
      <c r="O126" s="1360"/>
      <c r="P126" s="1359"/>
      <c r="Q126" s="1359"/>
      <c r="R126" s="1359"/>
    </row>
    <row r="127" spans="4:18">
      <c r="D127" s="1357"/>
      <c r="E127" s="1357"/>
      <c r="F127" s="1357"/>
      <c r="H127" s="1359"/>
      <c r="I127" s="1359"/>
      <c r="J127" s="1359"/>
      <c r="K127" s="1359"/>
      <c r="L127" s="1359"/>
      <c r="M127" s="1359"/>
      <c r="N127" s="1359"/>
      <c r="O127" s="1360"/>
      <c r="P127" s="1359"/>
      <c r="Q127" s="1359"/>
      <c r="R127" s="1359"/>
    </row>
    <row r="128" spans="4:18">
      <c r="D128" s="1357"/>
      <c r="E128" s="1357"/>
      <c r="F128" s="1357"/>
      <c r="H128" s="1359"/>
      <c r="I128" s="1359"/>
      <c r="J128" s="1359"/>
      <c r="K128" s="1359"/>
      <c r="L128" s="1359"/>
      <c r="M128" s="1359"/>
      <c r="N128" s="1359"/>
      <c r="O128" s="1360"/>
      <c r="P128" s="1359"/>
      <c r="Q128" s="1359"/>
      <c r="R128" s="1359"/>
    </row>
    <row r="129" spans="4:18">
      <c r="D129" s="1357"/>
      <c r="E129" s="1357"/>
      <c r="F129" s="1357"/>
      <c r="H129" s="1359"/>
      <c r="I129" s="1359"/>
      <c r="J129" s="1359"/>
      <c r="K129" s="1359"/>
      <c r="L129" s="1359"/>
      <c r="M129" s="1359"/>
      <c r="N129" s="1359"/>
      <c r="O129" s="1360"/>
      <c r="P129" s="1359"/>
      <c r="Q129" s="1359"/>
      <c r="R129" s="1359"/>
    </row>
    <row r="130" spans="4:18">
      <c r="D130" s="1357"/>
      <c r="E130" s="1357"/>
      <c r="F130" s="1357"/>
      <c r="H130" s="1359"/>
      <c r="I130" s="1359"/>
      <c r="J130" s="1359"/>
      <c r="K130" s="1359"/>
      <c r="L130" s="1359"/>
      <c r="M130" s="1359"/>
      <c r="N130" s="1359"/>
      <c r="O130" s="1360"/>
      <c r="P130" s="1359"/>
      <c r="Q130" s="1359"/>
      <c r="R130" s="1359"/>
    </row>
    <row r="131" spans="4:18">
      <c r="D131" s="1357"/>
      <c r="E131" s="1357"/>
      <c r="F131" s="1357"/>
      <c r="H131" s="1359"/>
      <c r="I131" s="1359"/>
      <c r="J131" s="1359"/>
      <c r="K131" s="1359"/>
      <c r="L131" s="1359"/>
      <c r="M131" s="1359"/>
      <c r="N131" s="1359"/>
      <c r="O131" s="1360"/>
      <c r="P131" s="1359"/>
      <c r="Q131" s="1359"/>
      <c r="R131" s="1359"/>
    </row>
    <row r="132" spans="4:18">
      <c r="D132" s="1357"/>
      <c r="E132" s="1357"/>
      <c r="F132" s="1357"/>
      <c r="H132" s="1359"/>
      <c r="I132" s="1359"/>
      <c r="J132" s="1359"/>
      <c r="K132" s="1359"/>
      <c r="L132" s="1359"/>
      <c r="M132" s="1359"/>
      <c r="N132" s="1359"/>
      <c r="O132" s="1360"/>
      <c r="P132" s="1359"/>
      <c r="Q132" s="1359"/>
      <c r="R132" s="1359"/>
    </row>
    <row r="133" spans="4:18">
      <c r="D133" s="1357"/>
      <c r="E133" s="1357"/>
      <c r="F133" s="1357"/>
      <c r="H133" s="1359"/>
      <c r="I133" s="1359"/>
      <c r="J133" s="1359"/>
      <c r="K133" s="1359"/>
      <c r="L133" s="1359"/>
      <c r="M133" s="1359"/>
      <c r="N133" s="1359"/>
      <c r="O133" s="1360"/>
      <c r="P133" s="1359"/>
      <c r="Q133" s="1359"/>
      <c r="R133" s="1359"/>
    </row>
    <row r="134" spans="4:18">
      <c r="D134" s="1357"/>
      <c r="E134" s="1357"/>
      <c r="F134" s="1357"/>
      <c r="H134" s="1359"/>
      <c r="I134" s="1359"/>
      <c r="J134" s="1359"/>
      <c r="K134" s="1359"/>
      <c r="L134" s="1359"/>
      <c r="M134" s="1359"/>
      <c r="N134" s="1359"/>
      <c r="O134" s="1360"/>
      <c r="P134" s="1359"/>
      <c r="Q134" s="1359"/>
      <c r="R134" s="1359"/>
    </row>
    <row r="135" spans="4:18">
      <c r="D135" s="1357"/>
      <c r="E135" s="1357"/>
      <c r="F135" s="1357"/>
      <c r="H135" s="1359"/>
      <c r="I135" s="1359"/>
      <c r="J135" s="1359"/>
      <c r="K135" s="1359"/>
      <c r="L135" s="1359"/>
      <c r="M135" s="1359"/>
      <c r="N135" s="1359"/>
      <c r="O135" s="1360"/>
      <c r="P135" s="1359"/>
      <c r="Q135" s="1359"/>
      <c r="R135" s="1359"/>
    </row>
    <row r="136" spans="4:18">
      <c r="D136" s="1357"/>
      <c r="E136" s="1357"/>
      <c r="F136" s="1357"/>
      <c r="H136" s="1359"/>
      <c r="I136" s="1359"/>
      <c r="J136" s="1359"/>
      <c r="K136" s="1359"/>
      <c r="L136" s="1359"/>
      <c r="M136" s="1359"/>
      <c r="N136" s="1359"/>
      <c r="O136" s="1360"/>
      <c r="P136" s="1359"/>
      <c r="Q136" s="1359"/>
      <c r="R136" s="1359"/>
    </row>
    <row r="137" spans="4:18">
      <c r="D137" s="1357"/>
      <c r="E137" s="1357"/>
      <c r="F137" s="1357"/>
      <c r="H137" s="1359"/>
      <c r="I137" s="1359"/>
      <c r="J137" s="1359"/>
      <c r="K137" s="1359"/>
      <c r="L137" s="1359"/>
      <c r="M137" s="1359"/>
      <c r="N137" s="1359"/>
      <c r="O137" s="1360"/>
      <c r="P137" s="1359"/>
      <c r="Q137" s="1359"/>
      <c r="R137" s="1359"/>
    </row>
    <row r="138" spans="4:18">
      <c r="D138" s="1357"/>
      <c r="E138" s="1357"/>
      <c r="F138" s="1357"/>
      <c r="H138" s="1359"/>
      <c r="I138" s="1359"/>
      <c r="J138" s="1359"/>
      <c r="K138" s="1359"/>
      <c r="L138" s="1359"/>
      <c r="M138" s="1359"/>
      <c r="N138" s="1359"/>
      <c r="O138" s="1360"/>
      <c r="P138" s="1359"/>
      <c r="Q138" s="1359"/>
      <c r="R138" s="1359"/>
    </row>
    <row r="139" spans="4:18">
      <c r="D139" s="1357"/>
      <c r="E139" s="1357"/>
      <c r="F139" s="1357"/>
      <c r="H139" s="1359"/>
      <c r="I139" s="1359"/>
      <c r="J139" s="1359"/>
      <c r="K139" s="1359"/>
      <c r="L139" s="1359"/>
      <c r="M139" s="1359"/>
      <c r="N139" s="1359"/>
      <c r="O139" s="1360"/>
      <c r="P139" s="1359"/>
      <c r="Q139" s="1359"/>
      <c r="R139" s="1359"/>
    </row>
    <row r="140" spans="4:18">
      <c r="D140" s="1357"/>
      <c r="E140" s="1357"/>
      <c r="F140" s="1357"/>
      <c r="H140" s="1359"/>
      <c r="I140" s="1359"/>
      <c r="J140" s="1359"/>
      <c r="K140" s="1359"/>
      <c r="L140" s="1359"/>
      <c r="M140" s="1359"/>
      <c r="N140" s="1359"/>
      <c r="O140" s="1360"/>
      <c r="P140" s="1359"/>
      <c r="Q140" s="1359"/>
      <c r="R140" s="1359"/>
    </row>
    <row r="141" spans="4:18">
      <c r="D141" s="1357"/>
      <c r="E141" s="1357"/>
      <c r="F141" s="1357"/>
      <c r="H141" s="1359"/>
      <c r="I141" s="1359"/>
      <c r="J141" s="1359"/>
      <c r="K141" s="1359"/>
      <c r="L141" s="1359"/>
      <c r="M141" s="1359"/>
      <c r="N141" s="1359"/>
      <c r="O141" s="1360"/>
      <c r="P141" s="1359"/>
      <c r="Q141" s="1359"/>
      <c r="R141" s="1359"/>
    </row>
    <row r="142" spans="4:18">
      <c r="D142" s="1357"/>
      <c r="E142" s="1357"/>
      <c r="F142" s="1357"/>
      <c r="H142" s="1359"/>
      <c r="I142" s="1359"/>
      <c r="J142" s="1359"/>
      <c r="K142" s="1359"/>
      <c r="L142" s="1359"/>
      <c r="M142" s="1359"/>
      <c r="N142" s="1359"/>
      <c r="O142" s="1360"/>
      <c r="P142" s="1359"/>
      <c r="Q142" s="1359"/>
      <c r="R142" s="1359"/>
    </row>
    <row r="143" spans="4:18">
      <c r="D143" s="1357"/>
      <c r="E143" s="1357"/>
      <c r="F143" s="1357"/>
      <c r="H143" s="1359"/>
      <c r="I143" s="1359"/>
      <c r="J143" s="1359"/>
      <c r="K143" s="1359"/>
      <c r="L143" s="1359"/>
      <c r="M143" s="1359"/>
      <c r="N143" s="1359"/>
      <c r="O143" s="1360"/>
      <c r="P143" s="1359"/>
      <c r="Q143" s="1359"/>
      <c r="R143" s="1359"/>
    </row>
    <row r="144" spans="4:18">
      <c r="D144" s="1357"/>
      <c r="E144" s="1357"/>
      <c r="F144" s="1357"/>
      <c r="H144" s="1359"/>
      <c r="I144" s="1359"/>
      <c r="J144" s="1359"/>
      <c r="K144" s="1359"/>
      <c r="L144" s="1359"/>
      <c r="M144" s="1359"/>
      <c r="N144" s="1359"/>
      <c r="O144" s="1360"/>
      <c r="P144" s="1359"/>
      <c r="Q144" s="1359"/>
      <c r="R144" s="1359"/>
    </row>
    <row r="145" spans="4:18">
      <c r="D145" s="1357"/>
      <c r="E145" s="1357"/>
      <c r="F145" s="1357"/>
      <c r="H145" s="1359"/>
      <c r="I145" s="1359"/>
      <c r="J145" s="1359"/>
      <c r="K145" s="1359"/>
      <c r="L145" s="1359"/>
      <c r="M145" s="1359"/>
      <c r="N145" s="1359"/>
      <c r="O145" s="1360"/>
      <c r="P145" s="1359"/>
      <c r="Q145" s="1359"/>
      <c r="R145" s="1359"/>
    </row>
    <row r="146" spans="4:18">
      <c r="D146" s="1357"/>
      <c r="E146" s="1357"/>
      <c r="F146" s="1357"/>
      <c r="H146" s="1359"/>
      <c r="I146" s="1359"/>
      <c r="J146" s="1359"/>
      <c r="K146" s="1359"/>
      <c r="L146" s="1359"/>
      <c r="M146" s="1359"/>
      <c r="N146" s="1359"/>
      <c r="O146" s="1359"/>
      <c r="P146" s="1359"/>
      <c r="Q146" s="1359"/>
      <c r="R146" s="1359"/>
    </row>
    <row r="147" spans="4:18">
      <c r="D147" s="1357"/>
      <c r="E147" s="1357"/>
      <c r="F147" s="1357"/>
      <c r="H147" s="1359"/>
      <c r="I147" s="1359"/>
      <c r="J147" s="1359"/>
      <c r="K147" s="1359"/>
      <c r="L147" s="1359"/>
      <c r="M147" s="1359"/>
      <c r="N147" s="1359"/>
      <c r="O147" s="1359"/>
      <c r="P147" s="1359"/>
      <c r="Q147" s="1359"/>
      <c r="R147" s="1359"/>
    </row>
    <row r="148" spans="4:18">
      <c r="D148" s="1357"/>
      <c r="E148" s="1357"/>
      <c r="F148" s="1357"/>
      <c r="H148" s="1359"/>
      <c r="I148" s="1359"/>
      <c r="J148" s="1359"/>
      <c r="K148" s="1359"/>
      <c r="L148" s="1359"/>
      <c r="M148" s="1359"/>
      <c r="N148" s="1359"/>
      <c r="O148" s="1359"/>
      <c r="P148" s="1359"/>
      <c r="Q148" s="1359"/>
      <c r="R148" s="1359"/>
    </row>
    <row r="149" spans="4:18">
      <c r="D149" s="1357"/>
      <c r="E149" s="1357"/>
      <c r="F149" s="1357"/>
      <c r="H149" s="1359"/>
      <c r="I149" s="1359"/>
      <c r="J149" s="1359"/>
      <c r="K149" s="1359"/>
      <c r="L149" s="1359"/>
      <c r="M149" s="1359"/>
      <c r="N149" s="1359"/>
      <c r="O149" s="1359"/>
      <c r="P149" s="1359"/>
      <c r="Q149" s="1359"/>
      <c r="R149" s="1359"/>
    </row>
    <row r="150" spans="4:18">
      <c r="D150" s="1357"/>
      <c r="E150" s="1357"/>
      <c r="F150" s="1357"/>
      <c r="H150" s="1359"/>
      <c r="I150" s="1359"/>
      <c r="J150" s="1359"/>
      <c r="K150" s="1359"/>
      <c r="L150" s="1359"/>
      <c r="M150" s="1359"/>
      <c r="N150" s="1359"/>
      <c r="O150" s="1359"/>
      <c r="P150" s="1359"/>
      <c r="Q150" s="1359"/>
      <c r="R150" s="1359"/>
    </row>
    <row r="151" spans="4:18">
      <c r="D151" s="1357"/>
      <c r="E151" s="1357"/>
      <c r="F151" s="1357"/>
      <c r="H151" s="1359"/>
      <c r="I151" s="1359"/>
      <c r="J151" s="1359"/>
      <c r="K151" s="1359"/>
      <c r="L151" s="1359"/>
      <c r="M151" s="1359"/>
      <c r="N151" s="1359"/>
      <c r="O151" s="1359"/>
      <c r="P151" s="1359"/>
      <c r="Q151" s="1359"/>
      <c r="R151" s="1359"/>
    </row>
    <row r="152" spans="4:18">
      <c r="D152" s="1357"/>
      <c r="E152" s="1357"/>
      <c r="F152" s="1357"/>
      <c r="H152" s="1359"/>
      <c r="I152" s="1359"/>
      <c r="J152" s="1359"/>
      <c r="K152" s="1359"/>
      <c r="L152" s="1359"/>
      <c r="M152" s="1359"/>
      <c r="N152" s="1359"/>
      <c r="O152" s="1359"/>
      <c r="P152" s="1359"/>
      <c r="Q152" s="1359"/>
      <c r="R152" s="1359"/>
    </row>
    <row r="153" spans="4:18">
      <c r="D153" s="1357"/>
      <c r="E153" s="1357"/>
      <c r="F153" s="1357"/>
    </row>
    <row r="154" spans="4:18">
      <c r="D154" s="1357"/>
      <c r="E154" s="1357"/>
      <c r="F154" s="1357"/>
    </row>
    <row r="155" spans="4:18">
      <c r="D155" s="1357"/>
      <c r="E155" s="1357"/>
      <c r="F155" s="1357"/>
    </row>
    <row r="156" spans="4:18">
      <c r="D156" s="1357"/>
      <c r="E156" s="1357"/>
      <c r="F156" s="1357"/>
    </row>
    <row r="157" spans="4:18">
      <c r="D157" s="1357"/>
      <c r="E157" s="1357"/>
      <c r="F157" s="1357"/>
    </row>
    <row r="158" spans="4:18">
      <c r="D158" s="1357"/>
      <c r="E158" s="1357"/>
      <c r="F158" s="1357"/>
    </row>
    <row r="159" spans="4:18">
      <c r="D159" s="1357"/>
      <c r="E159" s="1357"/>
      <c r="F159" s="1357"/>
    </row>
    <row r="160" spans="4:18">
      <c r="D160" s="1357"/>
      <c r="E160" s="1357"/>
      <c r="F160" s="1357"/>
    </row>
    <row r="161" spans="4:6">
      <c r="D161" s="1357"/>
      <c r="E161" s="1357"/>
      <c r="F161" s="1357"/>
    </row>
    <row r="162" spans="4:6">
      <c r="D162" s="1357"/>
      <c r="E162" s="1357"/>
      <c r="F162" s="1357"/>
    </row>
    <row r="163" spans="4:6">
      <c r="D163" s="1357"/>
      <c r="E163" s="1357"/>
      <c r="F163" s="1357"/>
    </row>
    <row r="164" spans="4:6">
      <c r="D164" s="1357"/>
      <c r="E164" s="1357"/>
      <c r="F164" s="1357"/>
    </row>
    <row r="165" spans="4:6">
      <c r="D165" s="1357"/>
      <c r="E165" s="1357"/>
      <c r="F165" s="1357"/>
    </row>
    <row r="166" spans="4:6">
      <c r="D166" s="1357"/>
      <c r="E166" s="1357"/>
      <c r="F166" s="1357"/>
    </row>
    <row r="167" spans="4:6">
      <c r="D167" s="1357"/>
      <c r="E167" s="1357"/>
      <c r="F167" s="1357"/>
    </row>
    <row r="168" spans="4:6">
      <c r="D168" s="1357"/>
      <c r="E168" s="1357"/>
      <c r="F168" s="1357"/>
    </row>
    <row r="169" spans="4:6">
      <c r="D169" s="1357"/>
      <c r="E169" s="1357"/>
      <c r="F169" s="1357"/>
    </row>
    <row r="170" spans="4:6">
      <c r="D170" s="1357"/>
      <c r="E170" s="1357"/>
      <c r="F170" s="1357"/>
    </row>
    <row r="171" spans="4:6">
      <c r="D171" s="1357"/>
      <c r="E171" s="1357"/>
      <c r="F171" s="1357"/>
    </row>
    <row r="172" spans="4:6">
      <c r="D172" s="1357"/>
      <c r="E172" s="1357"/>
      <c r="F172" s="1357"/>
    </row>
    <row r="173" spans="4:6">
      <c r="D173" s="1357"/>
      <c r="E173" s="1357"/>
      <c r="F173" s="1357"/>
    </row>
    <row r="174" spans="4:6">
      <c r="D174" s="1357"/>
      <c r="E174" s="1357"/>
      <c r="F174" s="1357"/>
    </row>
    <row r="175" spans="4:6">
      <c r="D175" s="1357"/>
      <c r="E175" s="1357"/>
      <c r="F175" s="1357"/>
    </row>
    <row r="176" spans="4:6">
      <c r="D176" s="1357"/>
      <c r="E176" s="1357"/>
      <c r="F176" s="1357"/>
    </row>
    <row r="177" spans="4:6">
      <c r="D177" s="1357"/>
      <c r="E177" s="1357"/>
      <c r="F177" s="1357"/>
    </row>
    <row r="178" spans="4:6">
      <c r="D178" s="1357"/>
      <c r="E178" s="1357"/>
      <c r="F178" s="1357"/>
    </row>
    <row r="179" spans="4:6">
      <c r="D179" s="1357"/>
      <c r="E179" s="1357"/>
      <c r="F179" s="1357"/>
    </row>
    <row r="180" spans="4:6">
      <c r="D180" s="1357"/>
      <c r="E180" s="1357"/>
      <c r="F180" s="1357"/>
    </row>
    <row r="181" spans="4:6">
      <c r="D181" s="1357"/>
      <c r="E181" s="1357"/>
      <c r="F181" s="1357"/>
    </row>
    <row r="182" spans="4:6">
      <c r="D182" s="1357"/>
      <c r="E182" s="1357"/>
      <c r="F182" s="1357"/>
    </row>
    <row r="183" spans="4:6">
      <c r="D183" s="1357"/>
      <c r="E183" s="1357"/>
      <c r="F183" s="1357"/>
    </row>
    <row r="184" spans="4:6">
      <c r="D184" s="1357"/>
      <c r="E184" s="1357"/>
      <c r="F184" s="1357"/>
    </row>
    <row r="194" spans="2:17" ht="15.6">
      <c r="B194" s="3572" t="str">
        <f>E1</f>
        <v>עירית הרצליה</v>
      </c>
      <c r="C194" s="3572"/>
      <c r="D194" s="3572"/>
      <c r="E194" s="3572"/>
      <c r="F194" s="3572"/>
      <c r="G194" s="3572"/>
      <c r="H194" s="3572"/>
      <c r="I194" s="3572"/>
      <c r="J194" s="3572"/>
      <c r="K194" s="3572"/>
      <c r="L194" s="3572"/>
      <c r="M194" s="3572"/>
      <c r="N194" s="3572"/>
      <c r="O194" s="3572"/>
      <c r="P194" s="3572"/>
      <c r="Q194" s="3572"/>
    </row>
    <row r="195" spans="2:17" ht="15.6">
      <c r="B195" s="3571" t="str">
        <f>D2</f>
        <v>ניתוח הביצוע של התקציב הרגיל - תקבולים ותשלומים לפי מקורות הכנסה וסוגי הוצאה</v>
      </c>
      <c r="C195" s="3572"/>
      <c r="D195" s="3572"/>
      <c r="E195" s="3572"/>
      <c r="F195" s="3572"/>
      <c r="G195" s="3572"/>
      <c r="H195" s="3572"/>
      <c r="I195" s="3572"/>
      <c r="J195" s="3572"/>
      <c r="K195" s="3572"/>
      <c r="L195" s="3572"/>
      <c r="M195" s="3572"/>
      <c r="N195" s="3572"/>
      <c r="O195" s="3572"/>
      <c r="P195" s="3572"/>
      <c r="Q195" s="3572"/>
    </row>
    <row r="196" spans="2:17" ht="15.6">
      <c r="B196" s="3571" t="str">
        <f>D3</f>
        <v xml:space="preserve">לשנת הכספים 2015 (אלפי ש''ח) </v>
      </c>
      <c r="C196" s="3572"/>
      <c r="D196" s="3572"/>
      <c r="E196" s="3572"/>
      <c r="F196" s="3572"/>
      <c r="G196" s="3572"/>
      <c r="H196" s="3572"/>
      <c r="I196" s="3572"/>
      <c r="J196" s="3572"/>
      <c r="K196" s="3572"/>
      <c r="L196" s="3572"/>
      <c r="M196" s="3572"/>
      <c r="N196" s="3572"/>
      <c r="O196" s="3572"/>
      <c r="P196" s="3572"/>
      <c r="Q196" s="3572"/>
    </row>
    <row r="200" spans="2:17">
      <c r="B200" s="1362">
        <f t="shared" ref="B200:J200" si="4">B5</f>
        <v>0</v>
      </c>
      <c r="C200" s="1363" t="str">
        <f t="shared" si="4"/>
        <v>סוג ההוצאה</v>
      </c>
      <c r="D200" s="1371">
        <f t="shared" si="4"/>
        <v>0</v>
      </c>
      <c r="E200" s="1363" t="str">
        <f t="shared" si="4"/>
        <v>תקציב</v>
      </c>
      <c r="F200" s="1363">
        <f t="shared" si="4"/>
        <v>0</v>
      </c>
      <c r="G200" s="1364" t="str">
        <f t="shared" si="4"/>
        <v>הביצוע</v>
      </c>
      <c r="H200" s="1363">
        <f t="shared" si="4"/>
        <v>0</v>
      </c>
      <c r="I200" s="1363" t="str">
        <f t="shared" si="4"/>
        <v>% מסה"כ</v>
      </c>
      <c r="J200" s="1363">
        <f t="shared" si="4"/>
        <v>0</v>
      </c>
      <c r="K200" s="1365" t="s">
        <v>907</v>
      </c>
      <c r="L200" s="1366" t="s">
        <v>908</v>
      </c>
      <c r="M200" s="1436"/>
      <c r="N200" s="1363">
        <f>N5</f>
        <v>0</v>
      </c>
      <c r="O200" s="1363" t="str">
        <f>O5</f>
        <v>הביצוע</v>
      </c>
      <c r="P200" s="1363" t="str">
        <f>P5</f>
        <v>*</v>
      </c>
      <c r="Q200" s="1367" t="str">
        <f>Q5</f>
        <v>% מסה"כ</v>
      </c>
    </row>
    <row r="201" spans="2:17">
      <c r="B201" s="1368">
        <f>B6</f>
        <v>0</v>
      </c>
      <c r="C201" s="347"/>
      <c r="D201" s="347">
        <f t="shared" ref="D201:D213" si="5">D6</f>
        <v>0</v>
      </c>
      <c r="E201" s="347"/>
      <c r="F201" s="1369">
        <f t="shared" ref="F201:F213" si="6">F6</f>
        <v>0</v>
      </c>
      <c r="G201" s="347"/>
      <c r="H201" s="1369">
        <f t="shared" ref="H201:H213" si="7">H6</f>
        <v>0</v>
      </c>
      <c r="I201" s="347"/>
      <c r="J201" s="1369">
        <f t="shared" ref="J201:P213" si="8">J6</f>
        <v>0</v>
      </c>
      <c r="K201" s="1369" t="str">
        <f t="shared" si="8"/>
        <v>מתחת</v>
      </c>
      <c r="L201" s="1369">
        <f t="shared" si="8"/>
        <v>0</v>
      </c>
      <c r="M201" s="1369" t="str">
        <f t="shared" si="8"/>
        <v>מעל</v>
      </c>
      <c r="N201" s="1369">
        <f t="shared" si="8"/>
        <v>0</v>
      </c>
      <c r="O201" s="1369">
        <f t="shared" si="8"/>
        <v>2014</v>
      </c>
      <c r="P201" s="1369">
        <f t="shared" si="8"/>
        <v>0</v>
      </c>
      <c r="Q201" s="316"/>
    </row>
    <row r="202" spans="2:17">
      <c r="B202" s="1375">
        <f>B7</f>
        <v>0</v>
      </c>
      <c r="C202" s="350">
        <f>C7</f>
        <v>0</v>
      </c>
      <c r="D202" s="1437">
        <f t="shared" si="5"/>
        <v>0</v>
      </c>
      <c r="E202" s="1437">
        <f t="shared" ref="E202:E213" si="9">E7</f>
        <v>0</v>
      </c>
      <c r="F202" s="1437">
        <f t="shared" si="6"/>
        <v>0</v>
      </c>
      <c r="G202" s="1391">
        <f t="shared" ref="G202:G213" si="10">G7</f>
        <v>0</v>
      </c>
      <c r="H202" s="1396">
        <f t="shared" si="7"/>
        <v>0</v>
      </c>
      <c r="I202" s="1437">
        <f t="shared" ref="I202:I213" si="11">I7</f>
        <v>0</v>
      </c>
      <c r="J202" s="1437">
        <f t="shared" si="8"/>
        <v>0</v>
      </c>
      <c r="K202" s="1437">
        <f t="shared" si="8"/>
        <v>0</v>
      </c>
      <c r="L202" s="1437">
        <f t="shared" si="8"/>
        <v>0</v>
      </c>
      <c r="M202" s="1437">
        <f t="shared" si="8"/>
        <v>0</v>
      </c>
      <c r="N202" s="1437">
        <f t="shared" si="8"/>
        <v>0</v>
      </c>
      <c r="O202" s="1396" t="str">
        <f t="shared" si="8"/>
        <v xml:space="preserve"> </v>
      </c>
      <c r="P202" s="1390">
        <f t="shared" si="8"/>
        <v>0</v>
      </c>
      <c r="Q202" s="1392">
        <f t="shared" ref="Q202:Q213" si="12">Q7</f>
        <v>0</v>
      </c>
    </row>
    <row r="203" spans="2:17">
      <c r="B203" s="1399" t="str">
        <f t="shared" ref="B203:B211" si="13">IF(AND($E8=0,$G8=0,$I8=0,$K8=0,$M8=0,$O8=0,$Q8=0),"",$B8)</f>
        <v>1</v>
      </c>
      <c r="C203" s="1394" t="str">
        <f t="shared" ref="C203:C210" si="14">IF(AND($E8=0,$G8=0,$I8=0,$K8=0,$M8=0,$O8=0,$Q8=0),"",$C8)</f>
        <v>משכורות ושכר</v>
      </c>
      <c r="D203" s="1437">
        <f t="shared" si="5"/>
        <v>0</v>
      </c>
      <c r="E203" s="1376">
        <f t="shared" si="9"/>
        <v>332705</v>
      </c>
      <c r="F203" s="1376">
        <f t="shared" si="6"/>
        <v>0</v>
      </c>
      <c r="G203" s="1376">
        <f t="shared" si="10"/>
        <v>319784</v>
      </c>
      <c r="H203" s="1438">
        <f t="shared" si="7"/>
        <v>0</v>
      </c>
      <c r="I203" s="1439">
        <f t="shared" si="11"/>
        <v>0.38240000000000002</v>
      </c>
      <c r="J203" s="1437">
        <f t="shared" si="8"/>
        <v>0</v>
      </c>
      <c r="K203" s="1376">
        <f t="shared" si="8"/>
        <v>12921</v>
      </c>
      <c r="L203" s="1376">
        <f t="shared" si="8"/>
        <v>0</v>
      </c>
      <c r="M203" s="1376">
        <f t="shared" si="8"/>
        <v>0</v>
      </c>
      <c r="N203" s="1376">
        <f t="shared" si="8"/>
        <v>0</v>
      </c>
      <c r="O203" s="1376">
        <f t="shared" si="8"/>
        <v>301819</v>
      </c>
      <c r="P203" s="1390">
        <f t="shared" si="8"/>
        <v>0</v>
      </c>
      <c r="Q203" s="1440">
        <f t="shared" si="12"/>
        <v>0.38450000000000001</v>
      </c>
    </row>
    <row r="204" spans="2:17">
      <c r="B204" s="1399" t="str">
        <f t="shared" si="13"/>
        <v>2</v>
      </c>
      <c r="C204" s="1394" t="str">
        <f t="shared" si="14"/>
        <v xml:space="preserve">אחזקה ומנהל (למעט הוצאות מימון) </v>
      </c>
      <c r="D204" s="1437">
        <f t="shared" si="5"/>
        <v>0</v>
      </c>
      <c r="E204" s="1376">
        <f t="shared" si="9"/>
        <v>54023</v>
      </c>
      <c r="F204" s="1376">
        <f t="shared" si="6"/>
        <v>0</v>
      </c>
      <c r="G204" s="1376">
        <f t="shared" si="10"/>
        <v>46474</v>
      </c>
      <c r="H204" s="1438">
        <f t="shared" si="7"/>
        <v>0</v>
      </c>
      <c r="I204" s="1439">
        <f t="shared" si="11"/>
        <v>5.5599999999999983E-2</v>
      </c>
      <c r="J204" s="1437">
        <f t="shared" si="8"/>
        <v>0</v>
      </c>
      <c r="K204" s="1376">
        <f t="shared" si="8"/>
        <v>7549</v>
      </c>
      <c r="L204" s="1376">
        <f t="shared" si="8"/>
        <v>0</v>
      </c>
      <c r="M204" s="1376">
        <f t="shared" si="8"/>
        <v>0</v>
      </c>
      <c r="N204" s="1376">
        <f t="shared" si="8"/>
        <v>0</v>
      </c>
      <c r="O204" s="1376">
        <f t="shared" si="8"/>
        <v>47681</v>
      </c>
      <c r="P204" s="1390">
        <f t="shared" si="8"/>
        <v>0</v>
      </c>
      <c r="Q204" s="1440">
        <f t="shared" si="12"/>
        <v>6.0700000000000087E-2</v>
      </c>
    </row>
    <row r="205" spans="2:17">
      <c r="B205" s="1399" t="str">
        <f t="shared" si="13"/>
        <v>3</v>
      </c>
      <c r="C205" s="1394" t="str">
        <f t="shared" si="14"/>
        <v>הוצאות מימון</v>
      </c>
      <c r="D205" s="1437">
        <f t="shared" si="5"/>
        <v>0</v>
      </c>
      <c r="E205" s="1376">
        <f t="shared" si="9"/>
        <v>2910</v>
      </c>
      <c r="F205" s="1376">
        <f t="shared" si="6"/>
        <v>0</v>
      </c>
      <c r="G205" s="1376">
        <f t="shared" si="10"/>
        <v>2630</v>
      </c>
      <c r="H205" s="1438">
        <f t="shared" si="7"/>
        <v>0</v>
      </c>
      <c r="I205" s="1439">
        <f t="shared" si="11"/>
        <v>3.0999999999999999E-3</v>
      </c>
      <c r="J205" s="1437">
        <f t="shared" si="8"/>
        <v>0</v>
      </c>
      <c r="K205" s="1376">
        <f t="shared" si="8"/>
        <v>280</v>
      </c>
      <c r="L205" s="1376">
        <f t="shared" si="8"/>
        <v>0</v>
      </c>
      <c r="M205" s="1376">
        <f t="shared" si="8"/>
        <v>0</v>
      </c>
      <c r="N205" s="1376">
        <f t="shared" si="8"/>
        <v>0</v>
      </c>
      <c r="O205" s="1376">
        <f t="shared" si="8"/>
        <v>2503</v>
      </c>
      <c r="P205" s="1390">
        <f t="shared" si="8"/>
        <v>0</v>
      </c>
      <c r="Q205" s="1440">
        <f t="shared" si="12"/>
        <v>3.2000000000000002E-3</v>
      </c>
    </row>
    <row r="206" spans="2:17">
      <c r="B206" s="1399" t="str">
        <f t="shared" si="13"/>
        <v>4</v>
      </c>
      <c r="C206" s="1394" t="str">
        <f t="shared" si="14"/>
        <v>הוצאות תפעול</v>
      </c>
      <c r="D206" s="1437">
        <f t="shared" si="5"/>
        <v>0</v>
      </c>
      <c r="E206" s="1376">
        <f t="shared" si="9"/>
        <v>211784</v>
      </c>
      <c r="F206" s="1376">
        <f t="shared" si="6"/>
        <v>0</v>
      </c>
      <c r="G206" s="1376">
        <f t="shared" si="10"/>
        <v>201312</v>
      </c>
      <c r="H206" s="1438">
        <f t="shared" si="7"/>
        <v>0</v>
      </c>
      <c r="I206" s="1439">
        <f t="shared" si="11"/>
        <v>0.2407</v>
      </c>
      <c r="J206" s="1437">
        <f t="shared" si="8"/>
        <v>0</v>
      </c>
      <c r="K206" s="1376">
        <f t="shared" si="8"/>
        <v>10472</v>
      </c>
      <c r="L206" s="1376">
        <f t="shared" si="8"/>
        <v>0</v>
      </c>
      <c r="M206" s="1376">
        <f t="shared" si="8"/>
        <v>0</v>
      </c>
      <c r="N206" s="1376">
        <f t="shared" si="8"/>
        <v>0</v>
      </c>
      <c r="O206" s="1376">
        <f t="shared" si="8"/>
        <v>192082</v>
      </c>
      <c r="P206" s="1390">
        <f t="shared" si="8"/>
        <v>0</v>
      </c>
      <c r="Q206" s="1440">
        <f t="shared" si="12"/>
        <v>0.2447</v>
      </c>
    </row>
    <row r="207" spans="2:17">
      <c r="B207" s="1399" t="str">
        <f t="shared" si="13"/>
        <v>5</v>
      </c>
      <c r="C207" s="1394" t="str">
        <f t="shared" si="14"/>
        <v>השתתפויות ותרומות</v>
      </c>
      <c r="D207" s="1437">
        <f t="shared" si="5"/>
        <v>0</v>
      </c>
      <c r="E207" s="1376">
        <f t="shared" si="9"/>
        <v>174285</v>
      </c>
      <c r="F207" s="1376">
        <f t="shared" si="6"/>
        <v>0</v>
      </c>
      <c r="G207" s="1376">
        <f t="shared" si="10"/>
        <v>167296</v>
      </c>
      <c r="H207" s="1438">
        <f t="shared" si="7"/>
        <v>0</v>
      </c>
      <c r="I207" s="1439">
        <f t="shared" si="11"/>
        <v>0.2001</v>
      </c>
      <c r="J207" s="1437">
        <f t="shared" si="8"/>
        <v>0</v>
      </c>
      <c r="K207" s="1376">
        <f t="shared" si="8"/>
        <v>6989</v>
      </c>
      <c r="L207" s="1376">
        <f t="shared" si="8"/>
        <v>0</v>
      </c>
      <c r="M207" s="1376">
        <f t="shared" si="8"/>
        <v>0</v>
      </c>
      <c r="N207" s="1376">
        <f t="shared" si="8"/>
        <v>0</v>
      </c>
      <c r="O207" s="1376">
        <f t="shared" si="8"/>
        <v>158513</v>
      </c>
      <c r="P207" s="1390">
        <f t="shared" si="8"/>
        <v>0</v>
      </c>
      <c r="Q207" s="1440">
        <f t="shared" si="12"/>
        <v>0.2019</v>
      </c>
    </row>
    <row r="208" spans="2:17">
      <c r="B208" s="1399" t="str">
        <f t="shared" si="13"/>
        <v>6</v>
      </c>
      <c r="C208" s="1394" t="str">
        <f t="shared" si="14"/>
        <v>הוצאות חד פעמיות</v>
      </c>
      <c r="D208" s="1437">
        <f t="shared" si="5"/>
        <v>0</v>
      </c>
      <c r="E208" s="1376">
        <f t="shared" si="9"/>
        <v>23918</v>
      </c>
      <c r="F208" s="1376">
        <f t="shared" si="6"/>
        <v>0</v>
      </c>
      <c r="G208" s="1376">
        <f t="shared" si="10"/>
        <v>64139</v>
      </c>
      <c r="H208" s="1438">
        <f t="shared" si="7"/>
        <v>0</v>
      </c>
      <c r="I208" s="1439">
        <f t="shared" si="11"/>
        <v>7.6700000000000004E-2</v>
      </c>
      <c r="J208" s="1437">
        <f t="shared" si="8"/>
        <v>0</v>
      </c>
      <c r="K208" s="1376">
        <f t="shared" si="8"/>
        <v>0</v>
      </c>
      <c r="L208" s="1376">
        <f t="shared" si="8"/>
        <v>0</v>
      </c>
      <c r="M208" s="1376">
        <f t="shared" si="8"/>
        <v>40221</v>
      </c>
      <c r="N208" s="1376">
        <f t="shared" si="8"/>
        <v>0</v>
      </c>
      <c r="O208" s="1376">
        <f t="shared" si="8"/>
        <v>42173</v>
      </c>
      <c r="P208" s="1390">
        <f t="shared" si="8"/>
        <v>0</v>
      </c>
      <c r="Q208" s="1440">
        <f t="shared" si="12"/>
        <v>5.3699999999999998E-2</v>
      </c>
    </row>
    <row r="209" spans="2:17">
      <c r="B209" s="1399" t="str">
        <f t="shared" si="13"/>
        <v>7</v>
      </c>
      <c r="C209" s="1394" t="str">
        <f t="shared" si="14"/>
        <v>פרעון מלוות</v>
      </c>
      <c r="D209" s="1437">
        <f t="shared" si="5"/>
        <v>0</v>
      </c>
      <c r="E209" s="1376">
        <f t="shared" si="9"/>
        <v>36600</v>
      </c>
      <c r="F209" s="1376">
        <f t="shared" si="6"/>
        <v>0</v>
      </c>
      <c r="G209" s="1376">
        <f t="shared" si="10"/>
        <v>34633</v>
      </c>
      <c r="H209" s="1438">
        <f t="shared" si="7"/>
        <v>0</v>
      </c>
      <c r="I209" s="1439">
        <f t="shared" si="11"/>
        <v>4.1399999999999999E-2</v>
      </c>
      <c r="J209" s="1437">
        <f t="shared" si="8"/>
        <v>0</v>
      </c>
      <c r="K209" s="1376">
        <f t="shared" si="8"/>
        <v>1967</v>
      </c>
      <c r="L209" s="1376">
        <f t="shared" si="8"/>
        <v>0</v>
      </c>
      <c r="M209" s="1376">
        <f t="shared" si="8"/>
        <v>0</v>
      </c>
      <c r="N209" s="1376">
        <f t="shared" si="8"/>
        <v>0</v>
      </c>
      <c r="O209" s="1376">
        <f t="shared" si="8"/>
        <v>40282</v>
      </c>
      <c r="P209" s="1390">
        <f t="shared" si="8"/>
        <v>0</v>
      </c>
      <c r="Q209" s="1440">
        <f t="shared" si="12"/>
        <v>5.1299999999999998E-2</v>
      </c>
    </row>
    <row r="210" spans="2:17">
      <c r="B210" s="1399" t="str">
        <f t="shared" si="13"/>
        <v/>
      </c>
      <c r="C210" s="1394" t="str">
        <f t="shared" si="14"/>
        <v/>
      </c>
      <c r="D210" s="1437"/>
      <c r="E210" s="1376">
        <f t="shared" si="9"/>
        <v>0</v>
      </c>
      <c r="F210" s="1376">
        <f t="shared" si="6"/>
        <v>0</v>
      </c>
      <c r="G210" s="1376">
        <f t="shared" si="10"/>
        <v>0</v>
      </c>
      <c r="H210" s="1438">
        <f t="shared" si="7"/>
        <v>0</v>
      </c>
      <c r="I210" s="1439">
        <f t="shared" si="11"/>
        <v>0</v>
      </c>
      <c r="J210" s="1437">
        <f t="shared" si="8"/>
        <v>0</v>
      </c>
      <c r="K210" s="1376">
        <f t="shared" si="8"/>
        <v>0</v>
      </c>
      <c r="L210" s="1376">
        <f t="shared" si="8"/>
        <v>0</v>
      </c>
      <c r="M210" s="1376">
        <f t="shared" si="8"/>
        <v>0</v>
      </c>
      <c r="N210" s="1376">
        <f t="shared" si="8"/>
        <v>0</v>
      </c>
      <c r="O210" s="1376">
        <f t="shared" si="8"/>
        <v>0</v>
      </c>
      <c r="P210" s="1390">
        <f t="shared" si="8"/>
        <v>0</v>
      </c>
      <c r="Q210" s="1440">
        <f t="shared" si="12"/>
        <v>0</v>
      </c>
    </row>
    <row r="211" spans="2:17">
      <c r="B211" s="1399" t="str">
        <f t="shared" si="13"/>
        <v/>
      </c>
      <c r="C211" s="1394" t="str">
        <f>IF(AND($C16&lt;&gt;"(***)",OR($E16&lt;&gt;0,$G16&lt;&gt;0,$I16&lt;&gt;0,$K16&lt;&gt;0,$M16&lt;&gt;0,$O16&lt;&gt;0,$Q16&lt;&gt;0)),$C16,"")</f>
        <v/>
      </c>
      <c r="D211" s="1437"/>
      <c r="E211" s="1376">
        <f t="shared" si="9"/>
        <v>0</v>
      </c>
      <c r="F211" s="1376">
        <f t="shared" si="6"/>
        <v>0</v>
      </c>
      <c r="G211" s="1376">
        <f t="shared" si="10"/>
        <v>0</v>
      </c>
      <c r="H211" s="1438">
        <f t="shared" si="7"/>
        <v>0</v>
      </c>
      <c r="I211" s="1439">
        <f t="shared" si="11"/>
        <v>0</v>
      </c>
      <c r="J211" s="1437">
        <f t="shared" si="8"/>
        <v>0</v>
      </c>
      <c r="K211" s="1376">
        <f t="shared" si="8"/>
        <v>0</v>
      </c>
      <c r="L211" s="1376">
        <f t="shared" si="8"/>
        <v>0</v>
      </c>
      <c r="M211" s="1376">
        <f t="shared" si="8"/>
        <v>0</v>
      </c>
      <c r="N211" s="1376">
        <f t="shared" si="8"/>
        <v>0</v>
      </c>
      <c r="O211" s="1376">
        <f t="shared" si="8"/>
        <v>0</v>
      </c>
      <c r="P211" s="1390">
        <f t="shared" si="8"/>
        <v>0</v>
      </c>
      <c r="Q211" s="1441">
        <f t="shared" si="12"/>
        <v>0</v>
      </c>
    </row>
    <row r="212" spans="2:17">
      <c r="B212" s="1399">
        <f>B17</f>
        <v>0</v>
      </c>
      <c r="C212" s="1394">
        <f>C17</f>
        <v>0</v>
      </c>
      <c r="D212" s="800">
        <f t="shared" si="5"/>
        <v>0</v>
      </c>
      <c r="E212" s="1376">
        <f t="shared" si="9"/>
        <v>0</v>
      </c>
      <c r="F212" s="1376">
        <f t="shared" si="6"/>
        <v>0</v>
      </c>
      <c r="G212" s="1376">
        <f t="shared" si="10"/>
        <v>0</v>
      </c>
      <c r="H212" s="1442">
        <f t="shared" si="7"/>
        <v>0</v>
      </c>
      <c r="I212" s="1438">
        <f t="shared" si="11"/>
        <v>0</v>
      </c>
      <c r="J212" s="800">
        <f t="shared" si="8"/>
        <v>0</v>
      </c>
      <c r="K212" s="1376">
        <f t="shared" si="8"/>
        <v>0</v>
      </c>
      <c r="L212" s="1376">
        <f t="shared" si="8"/>
        <v>0</v>
      </c>
      <c r="M212" s="1376">
        <f t="shared" si="8"/>
        <v>0</v>
      </c>
      <c r="N212" s="1376">
        <f t="shared" si="8"/>
        <v>0</v>
      </c>
      <c r="O212" s="1376">
        <f t="shared" si="8"/>
        <v>0</v>
      </c>
      <c r="P212" s="800">
        <f t="shared" si="8"/>
        <v>0</v>
      </c>
      <c r="Q212" s="1443">
        <f t="shared" si="12"/>
        <v>0</v>
      </c>
    </row>
    <row r="213" spans="2:17" ht="13.8" thickBot="1">
      <c r="B213" s="1399">
        <f>B18</f>
        <v>0</v>
      </c>
      <c r="C213" s="1394" t="str">
        <f>IF(AND($E18=0,$G18=0,$I18=0,$K18=0,$M18=0,$O18=0,$Q18=0),"",$C18)</f>
        <v>סה"כ הוצאות</v>
      </c>
      <c r="D213" s="1437">
        <f t="shared" si="5"/>
        <v>0</v>
      </c>
      <c r="E213" s="2800">
        <f t="shared" si="9"/>
        <v>836225</v>
      </c>
      <c r="F213" s="1376">
        <f t="shared" si="6"/>
        <v>0</v>
      </c>
      <c r="G213" s="2800">
        <f t="shared" si="10"/>
        <v>836268</v>
      </c>
      <c r="H213" s="1438">
        <f t="shared" si="7"/>
        <v>0</v>
      </c>
      <c r="I213" s="2807">
        <f t="shared" si="11"/>
        <v>1</v>
      </c>
      <c r="J213" s="1437">
        <f t="shared" si="8"/>
        <v>0</v>
      </c>
      <c r="K213" s="2800">
        <f t="shared" si="8"/>
        <v>40178</v>
      </c>
      <c r="L213" s="1376">
        <f t="shared" si="8"/>
        <v>0</v>
      </c>
      <c r="M213" s="2800">
        <f t="shared" si="8"/>
        <v>40221</v>
      </c>
      <c r="N213" s="1376">
        <f t="shared" si="8"/>
        <v>0</v>
      </c>
      <c r="O213" s="2800">
        <f t="shared" si="8"/>
        <v>785053</v>
      </c>
      <c r="P213" s="1390">
        <f t="shared" si="8"/>
        <v>0</v>
      </c>
      <c r="Q213" s="2806">
        <f t="shared" si="12"/>
        <v>1</v>
      </c>
    </row>
    <row r="214" spans="2:17" ht="13.8" thickTop="1">
      <c r="B214" s="1445"/>
      <c r="C214" s="1446">
        <f>IF(C19&lt;&gt;"(***)",C19,0)</f>
        <v>0</v>
      </c>
      <c r="D214" s="1446"/>
      <c r="E214" s="1446"/>
      <c r="F214" s="1446"/>
      <c r="G214" s="1447"/>
      <c r="H214" s="1446"/>
      <c r="I214" s="1446"/>
      <c r="J214" s="1446"/>
      <c r="K214" s="1446"/>
      <c r="L214" s="1446"/>
      <c r="M214" s="1446"/>
      <c r="N214" s="1446"/>
      <c r="O214" s="1446"/>
      <c r="P214" s="1446"/>
      <c r="Q214" s="1448"/>
    </row>
  </sheetData>
  <sheetProtection password="83C1" sheet="1" objects="1" scenarios="1"/>
  <mergeCells count="12">
    <mergeCell ref="B194:Q194"/>
    <mergeCell ref="B196:Q196"/>
    <mergeCell ref="B195:Q195"/>
    <mergeCell ref="C5:C6"/>
    <mergeCell ref="E1:R1"/>
    <mergeCell ref="E5:E6"/>
    <mergeCell ref="G5:G6"/>
    <mergeCell ref="I5:I6"/>
    <mergeCell ref="Q5:Q6"/>
    <mergeCell ref="D2:R2"/>
    <mergeCell ref="D3:R3"/>
    <mergeCell ref="K5:M5"/>
  </mergeCells>
  <phoneticPr fontId="4" type="noConversion"/>
  <hyperlinks>
    <hyperlink ref="A4" location="'תוכן הענינים'!A1" tooltip="לחץ להצגת גליון תוכן הענינים" display="הצג תוכן ענינים"/>
  </hyperlinks>
  <printOptions horizontalCentered="1"/>
  <pageMargins left="0" right="7.8740157480315001E-2" top="0.75" bottom="0.35433070866141703" header="0.25" footer="3.9370078740157501E-2"/>
  <pageSetup paperSize="9" orientation="landscape" blackAndWhite="1" horizontalDpi="300" verticalDpi="300" r:id="rId1"/>
  <headerFooter alignWithMargins="0">
    <oddHeader>&amp;L&amp;8&amp;A</oddHeader>
    <oddFooter>&amp;C&amp;8&amp;P</oddFooter>
  </headerFooter>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6">
    <pageSetUpPr autoPageBreaks="0"/>
  </sheetPr>
  <dimension ref="A1:O222"/>
  <sheetViews>
    <sheetView showGridLines="0" showRowColHeaders="0" showZeros="0" rightToLeft="1" showOutlineSymbols="0" zoomScale="85" zoomScaleNormal="110" zoomScaleSheetLayoutView="75" workbookViewId="0">
      <selection activeCell="A4" sqref="A4"/>
    </sheetView>
  </sheetViews>
  <sheetFormatPr defaultColWidth="9.109375" defaultRowHeight="13.2"/>
  <cols>
    <col min="1" max="1" width="9.109375" style="1452"/>
    <col min="2" max="2" width="28.6640625" style="1452" customWidth="1"/>
    <col min="3" max="3" width="6.5546875" style="1452" customWidth="1"/>
    <col min="4" max="4" width="6.6640625" style="1452" customWidth="1"/>
    <col min="5" max="5" width="12.33203125" style="1452" customWidth="1"/>
    <col min="6" max="6" width="12.33203125" style="1514" customWidth="1"/>
    <col min="7" max="13" width="12.33203125" style="1452" customWidth="1"/>
    <col min="14" max="16384" width="9.109375" style="1452"/>
  </cols>
  <sheetData>
    <row r="1" spans="1:15" ht="12.75" customHeight="1">
      <c r="A1" s="1449"/>
      <c r="B1" s="1450"/>
      <c r="C1" s="1450"/>
      <c r="D1" s="3584" t="str">
        <f>'הגדרות כלליות'!D6</f>
        <v>עירית הרצליה</v>
      </c>
      <c r="E1" s="3585"/>
      <c r="F1" s="3585"/>
      <c r="G1" s="3585"/>
      <c r="H1" s="3585"/>
      <c r="I1" s="3585"/>
      <c r="J1" s="3585"/>
      <c r="K1" s="3585"/>
      <c r="L1" s="3585"/>
      <c r="M1" s="1450"/>
      <c r="N1" s="1449"/>
      <c r="O1" s="1451"/>
    </row>
    <row r="2" spans="1:15" ht="15.75" customHeight="1">
      <c r="A2" s="1449"/>
      <c r="B2" s="1450"/>
      <c r="C2" s="1450"/>
      <c r="D2" s="3584" t="s">
        <v>929</v>
      </c>
      <c r="E2" s="3585"/>
      <c r="F2" s="3585"/>
      <c r="G2" s="3585"/>
      <c r="H2" s="3585"/>
      <c r="I2" s="3585"/>
      <c r="J2" s="3585"/>
      <c r="K2" s="3585"/>
      <c r="L2" s="3585"/>
      <c r="M2" s="1450"/>
      <c r="N2" s="1449"/>
      <c r="O2" s="1451"/>
    </row>
    <row r="3" spans="1:15" ht="15.6">
      <c r="A3" s="1449"/>
      <c r="B3" s="1450"/>
      <c r="C3" s="1450"/>
      <c r="D3" s="3584" t="str">
        <f>CONCATENATE("לשנת הכספים ",'הגדרות כלליות'!D10, " (אלפי ש''ח) ")</f>
        <v xml:space="preserve">לשנת הכספים 2015 (אלפי ש''ח) </v>
      </c>
      <c r="E3" s="3585"/>
      <c r="F3" s="3585"/>
      <c r="G3" s="3585"/>
      <c r="H3" s="3585"/>
      <c r="I3" s="3585"/>
      <c r="J3" s="3585"/>
      <c r="K3" s="3585"/>
      <c r="L3" s="3585"/>
      <c r="M3" s="1450"/>
      <c r="N3" s="1449"/>
      <c r="O3" s="1451"/>
    </row>
    <row r="4" spans="1:15" ht="37.5" customHeight="1">
      <c r="A4" s="7" t="s">
        <v>339</v>
      </c>
      <c r="B4" s="1453"/>
      <c r="C4" s="1453"/>
      <c r="D4" s="1453"/>
      <c r="E4" s="1453"/>
      <c r="F4" s="1453"/>
      <c r="G4" s="1453"/>
      <c r="H4" s="1453"/>
      <c r="I4" s="1453"/>
      <c r="J4" s="1453"/>
      <c r="K4" s="1453"/>
      <c r="L4" s="1453"/>
      <c r="M4" s="1453"/>
      <c r="N4" s="1454"/>
      <c r="O4" s="1451"/>
    </row>
    <row r="5" spans="1:15">
      <c r="A5" s="1454"/>
      <c r="B5" s="1455"/>
      <c r="C5" s="1456" t="s">
        <v>930</v>
      </c>
      <c r="D5" s="1457"/>
      <c r="E5" s="1458"/>
      <c r="F5" s="1459" t="s">
        <v>524</v>
      </c>
      <c r="G5" s="1460"/>
      <c r="H5" s="1461"/>
      <c r="I5" s="1459" t="s">
        <v>529</v>
      </c>
      <c r="J5" s="1460"/>
      <c r="K5" s="1461"/>
      <c r="L5" s="1462" t="s">
        <v>931</v>
      </c>
      <c r="M5" s="1463"/>
      <c r="N5" s="1454"/>
      <c r="O5" s="1451"/>
    </row>
    <row r="6" spans="1:15">
      <c r="A6" s="1454"/>
      <c r="B6" s="1464" t="s">
        <v>932</v>
      </c>
      <c r="C6" s="3580" t="s">
        <v>524</v>
      </c>
      <c r="D6" s="3580" t="s">
        <v>529</v>
      </c>
      <c r="E6" s="3582" t="s">
        <v>395</v>
      </c>
      <c r="F6" s="3582" t="s">
        <v>396</v>
      </c>
      <c r="G6" s="1465" t="s">
        <v>933</v>
      </c>
      <c r="H6" s="3582" t="s">
        <v>395</v>
      </c>
      <c r="I6" s="3582" t="s">
        <v>396</v>
      </c>
      <c r="J6" s="1465" t="s">
        <v>933</v>
      </c>
      <c r="K6" s="1465" t="s">
        <v>934</v>
      </c>
      <c r="L6" s="1465" t="s">
        <v>934</v>
      </c>
      <c r="M6" s="1466" t="s">
        <v>935</v>
      </c>
      <c r="N6" s="1454"/>
      <c r="O6" s="1451"/>
    </row>
    <row r="7" spans="1:15">
      <c r="A7" s="1454"/>
      <c r="B7" s="1467"/>
      <c r="C7" s="3581"/>
      <c r="D7" s="3581"/>
      <c r="E7" s="3583"/>
      <c r="F7" s="3583"/>
      <c r="G7" s="1468" t="s">
        <v>936</v>
      </c>
      <c r="H7" s="3583"/>
      <c r="I7" s="3583"/>
      <c r="J7" s="1468" t="s">
        <v>937</v>
      </c>
      <c r="K7" s="1468" t="s">
        <v>395</v>
      </c>
      <c r="L7" s="1468" t="s">
        <v>396</v>
      </c>
      <c r="M7" s="1469" t="s">
        <v>931</v>
      </c>
      <c r="N7" s="1454"/>
      <c r="O7" s="1451"/>
    </row>
    <row r="8" spans="1:15">
      <c r="A8" s="1454"/>
      <c r="B8" s="1470" t="s">
        <v>938</v>
      </c>
      <c r="C8" s="1471"/>
      <c r="D8" s="1471"/>
      <c r="E8" s="1471"/>
      <c r="F8" s="1471"/>
      <c r="G8" s="1471"/>
      <c r="H8" s="1471"/>
      <c r="I8" s="1471"/>
      <c r="J8" s="1471"/>
      <c r="K8" s="1471"/>
      <c r="L8" s="1471"/>
      <c r="M8" s="1472"/>
      <c r="N8" s="1454"/>
      <c r="O8" s="1451"/>
    </row>
    <row r="9" spans="1:15">
      <c r="A9" s="1454"/>
      <c r="B9" s="1473" t="s">
        <v>939</v>
      </c>
      <c r="C9" s="1471"/>
      <c r="D9" s="1471">
        <v>6</v>
      </c>
      <c r="E9" s="1471"/>
      <c r="F9" s="1471"/>
      <c r="G9" s="1471"/>
      <c r="H9" s="1474">
        <f>'טופס 2'!$N$15</f>
        <v>77898</v>
      </c>
      <c r="I9" s="1475">
        <f>'טופס 2'!$P$15</f>
        <v>72745</v>
      </c>
      <c r="J9" s="1475">
        <f>H9-I9</f>
        <v>5153</v>
      </c>
      <c r="K9" s="1475">
        <f t="shared" ref="K9:L13" si="0">E9-H9</f>
        <v>-77898</v>
      </c>
      <c r="L9" s="1475">
        <f t="shared" si="0"/>
        <v>-72745</v>
      </c>
      <c r="M9" s="1476">
        <f>L9-K9</f>
        <v>5153</v>
      </c>
      <c r="N9" s="1454"/>
      <c r="O9" s="1451"/>
    </row>
    <row r="10" spans="1:15">
      <c r="A10" s="1454"/>
      <c r="B10" s="1473" t="s">
        <v>940</v>
      </c>
      <c r="C10" s="1471">
        <v>2</v>
      </c>
      <c r="D10" s="1471">
        <v>7</v>
      </c>
      <c r="E10" s="1474">
        <f>'טופס 2'!$E$30</f>
        <v>29731</v>
      </c>
      <c r="F10" s="1475">
        <f>'טופס 2'!$G$30</f>
        <v>24765</v>
      </c>
      <c r="G10" s="1475">
        <f>F10-E10</f>
        <v>-4966</v>
      </c>
      <c r="H10" s="1477">
        <f>'טופס 2'!$N$30</f>
        <v>183074</v>
      </c>
      <c r="I10" s="1478">
        <f>'טופס 2'!$P$30</f>
        <v>172467</v>
      </c>
      <c r="J10" s="1478">
        <f>H10-I10</f>
        <v>10607</v>
      </c>
      <c r="K10" s="1478">
        <f t="shared" si="0"/>
        <v>-153343</v>
      </c>
      <c r="L10" s="1478">
        <f t="shared" si="0"/>
        <v>-147702</v>
      </c>
      <c r="M10" s="1479">
        <f>L10-K10</f>
        <v>5641</v>
      </c>
      <c r="N10" s="1454"/>
      <c r="O10" s="1451"/>
    </row>
    <row r="11" spans="1:15">
      <c r="A11" s="1454"/>
      <c r="B11" s="1473" t="s">
        <v>941</v>
      </c>
      <c r="C11" s="1471">
        <v>3</v>
      </c>
      <c r="D11" s="1471">
        <v>8</v>
      </c>
      <c r="E11" s="1477">
        <f>'טופס 2'!$E$40</f>
        <v>203715</v>
      </c>
      <c r="F11" s="1478">
        <f>'טופס 2'!$G$40</f>
        <v>200744</v>
      </c>
      <c r="G11" s="1478">
        <f>F11-E11</f>
        <v>-2971</v>
      </c>
      <c r="H11" s="1477">
        <f>'טופס 2'!$N$40</f>
        <v>442129</v>
      </c>
      <c r="I11" s="1478">
        <f>'טופס 2'!$P$40</f>
        <v>425241</v>
      </c>
      <c r="J11" s="1478">
        <f>H11-I11</f>
        <v>16888</v>
      </c>
      <c r="K11" s="1478">
        <f t="shared" si="0"/>
        <v>-238414</v>
      </c>
      <c r="L11" s="1478">
        <f t="shared" si="0"/>
        <v>-224497</v>
      </c>
      <c r="M11" s="1479">
        <f>L11-K11</f>
        <v>13917</v>
      </c>
      <c r="N11" s="1454"/>
      <c r="O11" s="1451"/>
    </row>
    <row r="12" spans="1:15">
      <c r="A12" s="1454"/>
      <c r="B12" s="1473" t="s">
        <v>942</v>
      </c>
      <c r="C12" s="1471">
        <v>4</v>
      </c>
      <c r="D12" s="1471">
        <v>9</v>
      </c>
      <c r="E12" s="1477">
        <f>'טופס 2'!$E$51</f>
        <v>46585</v>
      </c>
      <c r="F12" s="1478">
        <f>'טופס 2'!$G$51</f>
        <v>52122</v>
      </c>
      <c r="G12" s="1478">
        <f>F12-E12</f>
        <v>5537</v>
      </c>
      <c r="H12" s="1477">
        <f>'טופס 2'!N51</f>
        <v>36255</v>
      </c>
      <c r="I12" s="1478">
        <f>'טופס 2'!P51</f>
        <v>34411</v>
      </c>
      <c r="J12" s="1478">
        <f>H12-I12</f>
        <v>1844</v>
      </c>
      <c r="K12" s="1478">
        <f t="shared" si="0"/>
        <v>10330</v>
      </c>
      <c r="L12" s="1478">
        <f t="shared" si="0"/>
        <v>17711</v>
      </c>
      <c r="M12" s="1479">
        <f>L12-K12</f>
        <v>7381</v>
      </c>
      <c r="N12" s="1454"/>
      <c r="O12" s="1451"/>
    </row>
    <row r="13" spans="1:15">
      <c r="A13" s="1454"/>
      <c r="B13" s="1473" t="s">
        <v>943</v>
      </c>
      <c r="C13" s="1471">
        <v>5</v>
      </c>
      <c r="D13" s="1471">
        <v>99</v>
      </c>
      <c r="E13" s="1480">
        <f>'טופס 2'!E53</f>
        <v>38524</v>
      </c>
      <c r="F13" s="1481">
        <f>'טופס 2'!G53</f>
        <v>33153</v>
      </c>
      <c r="G13" s="1481">
        <f>F13-E13</f>
        <v>-5371</v>
      </c>
      <c r="H13" s="1482">
        <f>'טופס 2'!$N$53</f>
        <v>96869</v>
      </c>
      <c r="I13" s="1483">
        <f>'טופס 2'!$P$53</f>
        <v>131404</v>
      </c>
      <c r="J13" s="1481">
        <f>H13-I13</f>
        <v>-34535</v>
      </c>
      <c r="K13" s="1481">
        <f t="shared" si="0"/>
        <v>-58345</v>
      </c>
      <c r="L13" s="1481">
        <f t="shared" si="0"/>
        <v>-98251</v>
      </c>
      <c r="M13" s="1484">
        <f>L13-K13</f>
        <v>-39906</v>
      </c>
      <c r="N13" s="1454"/>
      <c r="O13" s="1451"/>
    </row>
    <row r="14" spans="1:15">
      <c r="A14" s="1454"/>
      <c r="B14" s="1485" t="s">
        <v>944</v>
      </c>
      <c r="C14" s="1471"/>
      <c r="D14" s="1471"/>
      <c r="E14" s="1486">
        <f>SUM(E9:E13)</f>
        <v>318555</v>
      </c>
      <c r="F14" s="1487">
        <f>SUM(F10:F13)</f>
        <v>310784</v>
      </c>
      <c r="G14" s="1487">
        <f>SUM(G10:G13)</f>
        <v>-7771</v>
      </c>
      <c r="H14" s="1487">
        <f t="shared" ref="H14:M14" si="1">SUM(H9:H13)</f>
        <v>836225</v>
      </c>
      <c r="I14" s="1487">
        <f t="shared" si="1"/>
        <v>836268</v>
      </c>
      <c r="J14" s="1487">
        <f t="shared" si="1"/>
        <v>-43</v>
      </c>
      <c r="K14" s="1487">
        <f t="shared" si="1"/>
        <v>-517670</v>
      </c>
      <c r="L14" s="1487">
        <f t="shared" si="1"/>
        <v>-525484</v>
      </c>
      <c r="M14" s="1488">
        <f t="shared" si="1"/>
        <v>-7814</v>
      </c>
      <c r="N14" s="1454"/>
      <c r="O14" s="1451"/>
    </row>
    <row r="15" spans="1:15">
      <c r="A15" s="1454"/>
      <c r="B15" s="1473"/>
      <c r="C15" s="1471"/>
      <c r="D15" s="1471"/>
      <c r="E15" s="1471"/>
      <c r="F15" s="1471"/>
      <c r="G15" s="1471"/>
      <c r="H15" s="1471"/>
      <c r="I15" s="1471"/>
      <c r="J15" s="1471"/>
      <c r="K15" s="1471"/>
      <c r="L15" s="1471"/>
      <c r="M15" s="1472"/>
      <c r="N15" s="1454"/>
      <c r="O15" s="1451"/>
    </row>
    <row r="16" spans="1:15">
      <c r="A16" s="1454"/>
      <c r="B16" s="1470" t="s">
        <v>945</v>
      </c>
      <c r="C16" s="1489"/>
      <c r="D16" s="1489"/>
      <c r="E16" s="1489"/>
      <c r="F16" s="1489"/>
      <c r="G16" s="1489"/>
      <c r="H16" s="1489"/>
      <c r="I16" s="1489"/>
      <c r="J16" s="1489"/>
      <c r="K16" s="1489"/>
      <c r="L16" s="1489"/>
      <c r="M16" s="1490"/>
      <c r="N16" s="1454"/>
      <c r="O16" s="1451"/>
    </row>
    <row r="17" spans="1:15">
      <c r="A17" s="1454"/>
      <c r="B17" s="1473" t="s">
        <v>946</v>
      </c>
      <c r="C17" s="1471">
        <v>1</v>
      </c>
      <c r="D17" s="1471"/>
      <c r="E17" s="1474">
        <f>'טופס 2'!E11+'טופס 2'!E12+'טופס 2'!E13+'טופס 2'!E14</f>
        <v>517670</v>
      </c>
      <c r="F17" s="1475">
        <f>'טופס 2'!G11+'טופס 2'!G13+'טופס 2'!G12+'טופס 2'!G14</f>
        <v>543001</v>
      </c>
      <c r="G17" s="1491">
        <f>F17-E17</f>
        <v>25331</v>
      </c>
      <c r="H17" s="1471"/>
      <c r="I17" s="1471"/>
      <c r="J17" s="1471"/>
      <c r="K17" s="1474">
        <f t="shared" ref="K17:L20" si="2">E17-H17</f>
        <v>517670</v>
      </c>
      <c r="L17" s="1475">
        <f t="shared" si="2"/>
        <v>543001</v>
      </c>
      <c r="M17" s="1476">
        <f>L17-K17</f>
        <v>25331</v>
      </c>
      <c r="N17" s="1454"/>
      <c r="O17" s="1451"/>
    </row>
    <row r="18" spans="1:15">
      <c r="A18" s="1454"/>
      <c r="B18" s="1473" t="s">
        <v>947</v>
      </c>
      <c r="C18" s="1492">
        <v>1.19</v>
      </c>
      <c r="D18" s="1471"/>
      <c r="E18" s="1477">
        <f>'טופס 2'!E17</f>
        <v>0</v>
      </c>
      <c r="F18" s="1478">
        <f>'טופס 2'!G17</f>
        <v>0</v>
      </c>
      <c r="G18" s="1493">
        <f>F18-E18</f>
        <v>0</v>
      </c>
      <c r="H18" s="1489"/>
      <c r="I18" s="1489"/>
      <c r="J18" s="1489"/>
      <c r="K18" s="1477">
        <f t="shared" si="2"/>
        <v>0</v>
      </c>
      <c r="L18" s="1478">
        <f t="shared" si="2"/>
        <v>0</v>
      </c>
      <c r="M18" s="1479">
        <f>L18-K18</f>
        <v>0</v>
      </c>
      <c r="N18" s="1454"/>
      <c r="O18" s="1451"/>
    </row>
    <row r="19" spans="1:15">
      <c r="A19" s="1454"/>
      <c r="B19" s="1473" t="s">
        <v>948</v>
      </c>
      <c r="C19" s="1492"/>
      <c r="D19" s="1471"/>
      <c r="E19" s="1477">
        <f>'טופס 2'!E15</f>
        <v>0</v>
      </c>
      <c r="F19" s="1478">
        <f>'טופס 2'!G15</f>
        <v>0</v>
      </c>
      <c r="G19" s="1493">
        <f>F19-E19</f>
        <v>0</v>
      </c>
      <c r="H19" s="1471"/>
      <c r="I19" s="1471"/>
      <c r="J19" s="1471"/>
      <c r="K19" s="1477">
        <f t="shared" si="2"/>
        <v>0</v>
      </c>
      <c r="L19" s="1478">
        <f t="shared" si="2"/>
        <v>0</v>
      </c>
      <c r="M19" s="1479">
        <f>L19-K19</f>
        <v>0</v>
      </c>
      <c r="N19" s="1454"/>
      <c r="O19" s="1451"/>
    </row>
    <row r="20" spans="1:15">
      <c r="A20" s="1454"/>
      <c r="B20" s="1473" t="s">
        <v>809</v>
      </c>
      <c r="C20" s="1492"/>
      <c r="D20" s="1471"/>
      <c r="E20" s="2638">
        <f>'טופס 2'!E16</f>
        <v>0</v>
      </c>
      <c r="F20" s="2638">
        <f>'טופס 2'!G16</f>
        <v>0</v>
      </c>
      <c r="G20" s="1493">
        <f>F20-E20</f>
        <v>0</v>
      </c>
      <c r="H20" s="1471"/>
      <c r="I20" s="1471"/>
      <c r="J20" s="1471"/>
      <c r="K20" s="1477">
        <f t="shared" si="2"/>
        <v>0</v>
      </c>
      <c r="L20" s="1478">
        <f t="shared" si="2"/>
        <v>0</v>
      </c>
      <c r="M20" s="1479">
        <f>L20-K20</f>
        <v>0</v>
      </c>
      <c r="N20" s="1454"/>
      <c r="O20" s="1451"/>
    </row>
    <row r="21" spans="1:15">
      <c r="A21" s="1454"/>
      <c r="B21" s="1485" t="s">
        <v>949</v>
      </c>
      <c r="C21" s="1494"/>
      <c r="D21" s="1494"/>
      <c r="E21" s="1486">
        <f>SUM(E17:E20)</f>
        <v>517670</v>
      </c>
      <c r="F21" s="1487">
        <f>SUM(F17:F20)</f>
        <v>543001</v>
      </c>
      <c r="G21" s="1495">
        <f>SUM(G17:G20)</f>
        <v>25331</v>
      </c>
      <c r="H21" s="1489"/>
      <c r="I21" s="1489"/>
      <c r="J21" s="1489"/>
      <c r="K21" s="1486">
        <f>SUM(K17:K20)</f>
        <v>517670</v>
      </c>
      <c r="L21" s="1487">
        <f>SUM(L17:L20)</f>
        <v>543001</v>
      </c>
      <c r="M21" s="1488">
        <f>SUM(M17:M20)</f>
        <v>25331</v>
      </c>
      <c r="N21" s="1454"/>
      <c r="O21" s="1451"/>
    </row>
    <row r="22" spans="1:15">
      <c r="A22" s="1454"/>
      <c r="B22" s="1473"/>
      <c r="C22" s="1471"/>
      <c r="D22" s="1471"/>
      <c r="E22" s="1471"/>
      <c r="F22" s="1471"/>
      <c r="G22" s="1471"/>
      <c r="H22" s="1471"/>
      <c r="I22" s="1471"/>
      <c r="J22" s="1471"/>
      <c r="K22" s="1471"/>
      <c r="L22" s="1471"/>
      <c r="M22" s="1472"/>
      <c r="N22" s="1454"/>
      <c r="O22" s="1451"/>
    </row>
    <row r="23" spans="1:15" s="1502" customFormat="1" ht="13.8" thickBot="1">
      <c r="A23" s="1454"/>
      <c r="B23" s="1496" t="s">
        <v>481</v>
      </c>
      <c r="C23" s="1497"/>
      <c r="D23" s="1497"/>
      <c r="E23" s="1498">
        <f t="shared" ref="E23:M23" si="3">E14+E21</f>
        <v>836225</v>
      </c>
      <c r="F23" s="1499">
        <f t="shared" si="3"/>
        <v>853785</v>
      </c>
      <c r="G23" s="1499">
        <f t="shared" si="3"/>
        <v>17560</v>
      </c>
      <c r="H23" s="1499">
        <f>H14</f>
        <v>836225</v>
      </c>
      <c r="I23" s="1499">
        <f>I14</f>
        <v>836268</v>
      </c>
      <c r="J23" s="1499">
        <f>J14</f>
        <v>-43</v>
      </c>
      <c r="K23" s="1499">
        <f t="shared" si="3"/>
        <v>0</v>
      </c>
      <c r="L23" s="1499">
        <f t="shared" si="3"/>
        <v>17517</v>
      </c>
      <c r="M23" s="1500">
        <f t="shared" si="3"/>
        <v>17517</v>
      </c>
      <c r="N23" s="1454"/>
      <c r="O23" s="1501"/>
    </row>
    <row r="24" spans="1:15" s="1502" customFormat="1" ht="13.8" thickTop="1">
      <c r="A24" s="1454"/>
      <c r="B24" s="1496" t="s">
        <v>950</v>
      </c>
      <c r="C24" s="1497"/>
      <c r="D24" s="1497"/>
      <c r="E24" s="1503"/>
      <c r="F24" s="1503"/>
      <c r="G24" s="1503"/>
      <c r="H24" s="1503"/>
      <c r="I24" s="1503"/>
      <c r="J24" s="1503"/>
      <c r="K24" s="1503"/>
      <c r="L24" s="1503"/>
      <c r="M24" s="1504">
        <f>'טופס 2'!E55-'טופס 2'!N55</f>
        <v>0</v>
      </c>
      <c r="N24" s="1454"/>
      <c r="O24" s="1501"/>
    </row>
    <row r="25" spans="1:15" s="1502" customFormat="1" ht="13.8" thickBot="1">
      <c r="A25" s="1454"/>
      <c r="B25" s="1496" t="s">
        <v>951</v>
      </c>
      <c r="C25" s="1497"/>
      <c r="D25" s="1497"/>
      <c r="E25" s="1503"/>
      <c r="F25" s="1503"/>
      <c r="G25" s="1503"/>
      <c r="H25" s="1503"/>
      <c r="I25" s="1503"/>
      <c r="J25" s="1503"/>
      <c r="K25" s="1503"/>
      <c r="L25" s="1503"/>
      <c r="M25" s="1505">
        <f>M23+M24</f>
        <v>17517</v>
      </c>
      <c r="N25" s="1454"/>
      <c r="O25" s="1501"/>
    </row>
    <row r="26" spans="1:15" ht="13.8" thickTop="1">
      <c r="A26" s="1454"/>
      <c r="B26" s="1506"/>
      <c r="C26" s="1507"/>
      <c r="D26" s="1508"/>
      <c r="E26" s="1508"/>
      <c r="F26" s="1509"/>
      <c r="G26" s="1509"/>
      <c r="H26" s="1509"/>
      <c r="I26" s="1509"/>
      <c r="J26" s="1509"/>
      <c r="K26" s="1509"/>
      <c r="L26" s="1509"/>
      <c r="M26" s="1510"/>
      <c r="N26" s="1511"/>
      <c r="O26" s="1451"/>
    </row>
    <row r="27" spans="1:15">
      <c r="A27" s="1454"/>
      <c r="B27" s="1454"/>
      <c r="C27" s="1454"/>
      <c r="D27" s="1454"/>
      <c r="E27" s="1454"/>
      <c r="F27" s="1454"/>
      <c r="G27" s="1454"/>
      <c r="H27" s="1454"/>
      <c r="I27" s="1454"/>
      <c r="J27" s="1454"/>
      <c r="K27" s="1454"/>
      <c r="L27" s="1454"/>
      <c r="M27" s="1454"/>
      <c r="N27" s="1454"/>
      <c r="O27" s="1451"/>
    </row>
    <row r="28" spans="1:15" ht="13.8" thickBot="1">
      <c r="A28" s="1454"/>
      <c r="B28" s="1454"/>
      <c r="C28" s="1454"/>
      <c r="D28" s="1454"/>
      <c r="E28" s="1454"/>
      <c r="F28" s="1454"/>
      <c r="G28" s="1454"/>
      <c r="H28" s="1454"/>
      <c r="I28" s="1454"/>
      <c r="J28" s="1454"/>
      <c r="K28" s="1454"/>
      <c r="L28" s="1454"/>
      <c r="M28" s="1454"/>
      <c r="N28" s="1454"/>
      <c r="O28" s="1451"/>
    </row>
    <row r="29" spans="1:15" ht="13.8" thickTop="1">
      <c r="A29" s="1512"/>
      <c r="B29" s="1512"/>
      <c r="C29" s="1512"/>
      <c r="D29" s="1512"/>
      <c r="E29" s="1513"/>
      <c r="F29" s="1513"/>
      <c r="G29" s="1513"/>
      <c r="H29" s="1513"/>
      <c r="I29" s="1513"/>
      <c r="J29" s="1513"/>
      <c r="K29" s="1513"/>
      <c r="L29" s="1513"/>
      <c r="M29" s="1513"/>
      <c r="N29" s="1512"/>
    </row>
    <row r="30" spans="1:15">
      <c r="B30" s="1514"/>
      <c r="C30" s="1514"/>
      <c r="D30" s="1514"/>
      <c r="E30" s="1515"/>
      <c r="F30" s="1515"/>
      <c r="G30" s="1515"/>
      <c r="H30" s="1515"/>
      <c r="I30" s="1515"/>
      <c r="J30" s="1515"/>
      <c r="K30" s="1515"/>
      <c r="L30" s="1515"/>
      <c r="M30" s="1515"/>
    </row>
    <row r="31" spans="1:15">
      <c r="B31" s="1514"/>
      <c r="C31" s="1514"/>
      <c r="D31" s="1514"/>
      <c r="E31" s="1515"/>
      <c r="F31" s="1515"/>
      <c r="G31" s="1515"/>
      <c r="H31" s="1515"/>
      <c r="I31" s="1515"/>
      <c r="J31" s="1515"/>
      <c r="K31" s="1515"/>
      <c r="L31" s="1515"/>
      <c r="M31" s="1515"/>
    </row>
    <row r="32" spans="1:15">
      <c r="B32" s="1514"/>
      <c r="C32" s="1514"/>
      <c r="D32" s="1514"/>
      <c r="E32" s="1515"/>
      <c r="F32" s="1515"/>
      <c r="G32" s="1515"/>
      <c r="H32" s="1515"/>
      <c r="I32" s="1515"/>
      <c r="J32" s="1515"/>
      <c r="K32" s="1515"/>
      <c r="L32" s="1515"/>
      <c r="M32" s="1515"/>
    </row>
    <row r="33" spans="2:13">
      <c r="B33" s="1514"/>
      <c r="C33" s="1514"/>
      <c r="D33" s="1514"/>
      <c r="E33" s="1515"/>
      <c r="F33" s="1515"/>
      <c r="G33" s="1515"/>
      <c r="H33" s="1515"/>
      <c r="I33" s="1515"/>
      <c r="J33" s="1515"/>
      <c r="K33" s="1515"/>
      <c r="L33" s="1515"/>
      <c r="M33" s="1515"/>
    </row>
    <row r="34" spans="2:13">
      <c r="B34" s="1514"/>
      <c r="C34" s="1514"/>
      <c r="D34" s="1514"/>
      <c r="E34" s="1515"/>
      <c r="F34" s="1515"/>
      <c r="G34" s="1515"/>
      <c r="H34" s="1515"/>
      <c r="I34" s="1515"/>
      <c r="J34" s="1515"/>
      <c r="K34" s="1515"/>
      <c r="L34" s="1515"/>
      <c r="M34" s="1515"/>
    </row>
    <row r="35" spans="2:13">
      <c r="B35" s="1514"/>
      <c r="C35" s="1514"/>
      <c r="D35" s="1514"/>
      <c r="E35" s="1515"/>
      <c r="F35" s="1515"/>
      <c r="G35" s="1515"/>
      <c r="H35" s="1515"/>
      <c r="I35" s="1515"/>
      <c r="J35" s="1515"/>
      <c r="K35" s="1515"/>
      <c r="L35" s="1515"/>
      <c r="M35" s="1515"/>
    </row>
    <row r="36" spans="2:13">
      <c r="B36" s="1514"/>
      <c r="C36" s="1514"/>
      <c r="D36" s="1514"/>
      <c r="E36" s="1514"/>
      <c r="G36" s="1514"/>
      <c r="H36" s="1514"/>
      <c r="I36" s="1514"/>
      <c r="J36" s="1514"/>
      <c r="K36" s="1514"/>
      <c r="L36" s="1514"/>
      <c r="M36" s="1514"/>
    </row>
    <row r="37" spans="2:13">
      <c r="B37" s="1514"/>
      <c r="C37" s="1514"/>
      <c r="D37" s="1514"/>
      <c r="E37" s="1514"/>
      <c r="G37" s="1514"/>
      <c r="H37" s="1514"/>
      <c r="I37" s="1514"/>
      <c r="J37" s="1514"/>
      <c r="K37" s="1514"/>
      <c r="L37" s="1514"/>
      <c r="M37" s="1514"/>
    </row>
    <row r="38" spans="2:13">
      <c r="B38" s="1514"/>
      <c r="C38" s="1514"/>
      <c r="D38" s="1514"/>
      <c r="E38" s="1514"/>
      <c r="G38" s="1514"/>
      <c r="H38" s="1514"/>
      <c r="I38" s="1514"/>
      <c r="J38" s="1514"/>
      <c r="K38" s="1514"/>
      <c r="L38" s="1514"/>
      <c r="M38" s="1514"/>
    </row>
    <row r="39" spans="2:13">
      <c r="B39" s="1514"/>
      <c r="C39" s="1514"/>
      <c r="D39" s="1514"/>
      <c r="E39" s="1514"/>
      <c r="G39" s="1514"/>
      <c r="H39" s="1514"/>
      <c r="I39" s="1514"/>
      <c r="J39" s="1514"/>
      <c r="K39" s="1514"/>
      <c r="L39" s="1514"/>
      <c r="M39" s="1514"/>
    </row>
    <row r="40" spans="2:13">
      <c r="B40" s="1514"/>
      <c r="C40" s="1514"/>
      <c r="D40" s="1514"/>
      <c r="E40" s="1514"/>
      <c r="G40" s="1514"/>
      <c r="H40" s="1514"/>
      <c r="I40" s="1514"/>
      <c r="J40" s="1514"/>
      <c r="K40" s="1514"/>
      <c r="L40" s="1514"/>
      <c r="M40" s="1514"/>
    </row>
    <row r="41" spans="2:13">
      <c r="B41" s="1514"/>
      <c r="C41" s="1514"/>
      <c r="D41" s="1514"/>
      <c r="E41" s="1514"/>
      <c r="G41" s="1514"/>
      <c r="H41" s="1514"/>
      <c r="I41" s="1514"/>
      <c r="J41" s="1514"/>
      <c r="K41" s="1514"/>
      <c r="L41" s="1514"/>
      <c r="M41" s="1514"/>
    </row>
    <row r="195" spans="2:13" ht="15.6">
      <c r="B195" s="3578" t="str">
        <f>D1</f>
        <v>עירית הרצליה</v>
      </c>
      <c r="C195" s="3579"/>
      <c r="D195" s="3579"/>
      <c r="E195" s="3579"/>
      <c r="F195" s="3579"/>
      <c r="G195" s="3579"/>
      <c r="H195" s="3579"/>
      <c r="I195" s="3579"/>
      <c r="J195" s="3579"/>
      <c r="K195" s="3579"/>
      <c r="L195" s="3579"/>
      <c r="M195" s="3579"/>
    </row>
    <row r="196" spans="2:13" ht="15.6">
      <c r="B196" s="3578" t="str">
        <f>D2</f>
        <v>ניתוח הביצוע של התקציב הרגיל - הוצאות לפי שרותים ויעדים לעומת הכנסות מיועדות ובלתי מיועדות</v>
      </c>
      <c r="C196" s="3579"/>
      <c r="D196" s="3579"/>
      <c r="E196" s="3579"/>
      <c r="F196" s="3579"/>
      <c r="G196" s="3579"/>
      <c r="H196" s="3579"/>
      <c r="I196" s="3579"/>
      <c r="J196" s="3579"/>
      <c r="K196" s="3579"/>
      <c r="L196" s="3579"/>
      <c r="M196" s="3579"/>
    </row>
    <row r="197" spans="2:13" ht="15.6">
      <c r="B197" s="3578" t="str">
        <f>D3</f>
        <v xml:space="preserve">לשנת הכספים 2015 (אלפי ש''ח) </v>
      </c>
      <c r="C197" s="3579"/>
      <c r="D197" s="3579"/>
      <c r="E197" s="3579"/>
      <c r="F197" s="3579"/>
      <c r="G197" s="3579"/>
      <c r="H197" s="3579"/>
      <c r="I197" s="3579"/>
      <c r="J197" s="3579"/>
      <c r="K197" s="3579"/>
      <c r="L197" s="3579"/>
      <c r="M197" s="3579"/>
    </row>
    <row r="201" spans="2:13" ht="19.5" customHeight="1">
      <c r="B201" s="2768">
        <f>B5</f>
        <v>0</v>
      </c>
      <c r="C201" s="1516" t="s">
        <v>952</v>
      </c>
      <c r="D201" s="1517" t="s">
        <v>953</v>
      </c>
      <c r="E201" s="2769">
        <f t="shared" ref="E201:M201" si="4">E5</f>
        <v>0</v>
      </c>
      <c r="F201" s="2770" t="str">
        <f t="shared" si="4"/>
        <v>הכנסות</v>
      </c>
      <c r="G201" s="2771">
        <f t="shared" si="4"/>
        <v>0</v>
      </c>
      <c r="H201" s="2768">
        <f t="shared" si="4"/>
        <v>0</v>
      </c>
      <c r="I201" s="2770" t="str">
        <f t="shared" si="4"/>
        <v>הוצאות</v>
      </c>
      <c r="J201" s="2771">
        <f t="shared" si="4"/>
        <v>0</v>
      </c>
      <c r="K201" s="2768">
        <f t="shared" si="4"/>
        <v>0</v>
      </c>
      <c r="L201" s="2772" t="str">
        <f t="shared" si="4"/>
        <v>עודף (גרעון)</v>
      </c>
      <c r="M201" s="2773">
        <f t="shared" si="4"/>
        <v>0</v>
      </c>
    </row>
    <row r="202" spans="2:13">
      <c r="B202" s="2774" t="str">
        <f>B6</f>
        <v>פרקי התקציב</v>
      </c>
      <c r="C202" s="2775" t="str">
        <f>C6</f>
        <v>הכנסות</v>
      </c>
      <c r="D202" s="2776" t="str">
        <f>D6</f>
        <v>הוצאות</v>
      </c>
      <c r="E202" s="2777" t="str">
        <f t="shared" ref="E202:M202" si="5">E6</f>
        <v>תקציב</v>
      </c>
      <c r="F202" s="2778" t="str">
        <f t="shared" si="5"/>
        <v>ביצוע</v>
      </c>
      <c r="G202" s="2778" t="str">
        <f t="shared" si="5"/>
        <v>סטיות</v>
      </c>
      <c r="H202" s="2779" t="str">
        <f t="shared" si="5"/>
        <v>תקציב</v>
      </c>
      <c r="I202" s="2779" t="str">
        <f t="shared" si="5"/>
        <v>ביצוע</v>
      </c>
      <c r="J202" s="2778" t="str">
        <f t="shared" si="5"/>
        <v>סטיות</v>
      </c>
      <c r="K202" s="2778" t="str">
        <f t="shared" si="5"/>
        <v>לפי</v>
      </c>
      <c r="L202" s="2778" t="str">
        <f t="shared" si="5"/>
        <v>לפי</v>
      </c>
      <c r="M202" s="2778" t="str">
        <f t="shared" si="5"/>
        <v>הסטייה נטו</v>
      </c>
    </row>
    <row r="203" spans="2:13">
      <c r="B203" s="2780">
        <f>B7</f>
        <v>0</v>
      </c>
      <c r="C203" s="2781"/>
      <c r="D203" s="2782"/>
      <c r="E203" s="2783"/>
      <c r="F203" s="2782"/>
      <c r="G203" s="2784" t="str">
        <f t="shared" ref="G203:G219" si="6">G7</f>
        <v>מעל (מתחת)</v>
      </c>
      <c r="H203" s="2782"/>
      <c r="I203" s="2782"/>
      <c r="J203" s="2784" t="str">
        <f t="shared" ref="J203:M219" si="7">J7</f>
        <v>(מעל) מתחת</v>
      </c>
      <c r="K203" s="2784" t="str">
        <f t="shared" si="7"/>
        <v>תקציב</v>
      </c>
      <c r="L203" s="2784" t="str">
        <f t="shared" si="7"/>
        <v>ביצוע</v>
      </c>
      <c r="M203" s="2784" t="str">
        <f t="shared" si="7"/>
        <v>עודף (גרעון)</v>
      </c>
    </row>
    <row r="204" spans="2:13">
      <c r="B204" s="2785" t="str">
        <f>B8</f>
        <v>א. הכנסות והוצאות מיועדות</v>
      </c>
      <c r="C204" s="1519">
        <f>C8</f>
        <v>0</v>
      </c>
      <c r="D204" s="1519">
        <f>D8</f>
        <v>0</v>
      </c>
      <c r="E204" s="1519">
        <f>E8</f>
        <v>0</v>
      </c>
      <c r="F204" s="1519">
        <f>F8</f>
        <v>0</v>
      </c>
      <c r="G204" s="1519">
        <f t="shared" si="6"/>
        <v>0</v>
      </c>
      <c r="H204" s="1519">
        <f t="shared" ref="H204:I219" si="8">H8</f>
        <v>0</v>
      </c>
      <c r="I204" s="1519">
        <f t="shared" si="8"/>
        <v>0</v>
      </c>
      <c r="J204" s="1519">
        <f t="shared" si="7"/>
        <v>0</v>
      </c>
      <c r="K204" s="1519">
        <f t="shared" si="7"/>
        <v>0</v>
      </c>
      <c r="L204" s="1519">
        <f t="shared" si="7"/>
        <v>0</v>
      </c>
      <c r="M204" s="1520">
        <f t="shared" si="7"/>
        <v>0</v>
      </c>
    </row>
    <row r="205" spans="2:13">
      <c r="B205" s="1521" t="str">
        <f>IF(AND($H9=0,$I9=0,$J9=0,$K9=0,$L9=0,$M9=0),"",$B9)</f>
        <v>1. הנהלה וכלליות</v>
      </c>
      <c r="C205" s="1522">
        <f>C9</f>
        <v>0</v>
      </c>
      <c r="D205" s="1522">
        <f>IF(AND($H9=0,$I9=0,$J9=0,$K9=0,$L9=0,$M9=0),"",$D9)</f>
        <v>6</v>
      </c>
      <c r="E205" s="1523">
        <f t="shared" ref="E205:F219" si="9">E9</f>
        <v>0</v>
      </c>
      <c r="F205" s="1523">
        <f t="shared" si="9"/>
        <v>0</v>
      </c>
      <c r="G205" s="1524">
        <f t="shared" si="6"/>
        <v>0</v>
      </c>
      <c r="H205" s="1525">
        <f t="shared" si="8"/>
        <v>77898</v>
      </c>
      <c r="I205" s="1525">
        <f t="shared" si="8"/>
        <v>72745</v>
      </c>
      <c r="J205" s="1525">
        <f t="shared" si="7"/>
        <v>5153</v>
      </c>
      <c r="K205" s="1525">
        <f t="shared" si="7"/>
        <v>-77898</v>
      </c>
      <c r="L205" s="1525">
        <f t="shared" si="7"/>
        <v>-72745</v>
      </c>
      <c r="M205" s="1525">
        <f t="shared" si="7"/>
        <v>5153</v>
      </c>
    </row>
    <row r="206" spans="2:13">
      <c r="B206" s="1521" t="str">
        <f>IF(AND($E10=0,$F10=0,$G10=0,$H10=0,$I10=0,$J10=0,$K10=0,$L10=0,$M10=0),"",$B10)</f>
        <v>2. שירותים מקומיים</v>
      </c>
      <c r="C206" s="1522">
        <f>IF(AND($E10=0,$F10=0,$G10=0,$H10=0,$I10=0,$J10=0,$K10=0,$L10=0,$M10=0),"",$C10)</f>
        <v>2</v>
      </c>
      <c r="D206" s="1522">
        <f>IF(AND($E10=0,$F10=0,$G10=0,$H10=0,$I10=0,$J10=0,$K10=0,$L10=0,$M10=0),"",$D10)</f>
        <v>7</v>
      </c>
      <c r="E206" s="1525">
        <f t="shared" si="9"/>
        <v>29731</v>
      </c>
      <c r="F206" s="1525">
        <f t="shared" si="9"/>
        <v>24765</v>
      </c>
      <c r="G206" s="1525">
        <f t="shared" si="6"/>
        <v>-4966</v>
      </c>
      <c r="H206" s="1525">
        <f t="shared" si="8"/>
        <v>183074</v>
      </c>
      <c r="I206" s="1525">
        <f t="shared" si="8"/>
        <v>172467</v>
      </c>
      <c r="J206" s="1525">
        <f t="shared" si="7"/>
        <v>10607</v>
      </c>
      <c r="K206" s="1525">
        <f t="shared" si="7"/>
        <v>-153343</v>
      </c>
      <c r="L206" s="1525">
        <f t="shared" si="7"/>
        <v>-147702</v>
      </c>
      <c r="M206" s="1525">
        <f t="shared" si="7"/>
        <v>5641</v>
      </c>
    </row>
    <row r="207" spans="2:13">
      <c r="B207" s="1521" t="str">
        <f>IF(AND($E11=0,$F11=0,$G11=0,$H11=0,$I11=0,$J11=0,$K11=0,$L11=0,$M11=0),"",$B11)</f>
        <v>3. שירותים ממלכתיים</v>
      </c>
      <c r="C207" s="1522">
        <f>IF(AND($E11=0,$F11=0,$G11=0,$H11=0,$I11=0,$J11=0,$K11=0,$L11=0,$M11=0),"",$C11)</f>
        <v>3</v>
      </c>
      <c r="D207" s="1522">
        <f>IF(AND($E11=0,$F11=0,$G11=0,$H11=0,$I11=0,$J11=0,$K11=0,$L11=0,$M11=0),"",$D11)</f>
        <v>8</v>
      </c>
      <c r="E207" s="1525">
        <f t="shared" si="9"/>
        <v>203715</v>
      </c>
      <c r="F207" s="1525">
        <f t="shared" si="9"/>
        <v>200744</v>
      </c>
      <c r="G207" s="1525">
        <f t="shared" si="6"/>
        <v>-2971</v>
      </c>
      <c r="H207" s="1525">
        <f t="shared" si="8"/>
        <v>442129</v>
      </c>
      <c r="I207" s="1525">
        <f t="shared" si="8"/>
        <v>425241</v>
      </c>
      <c r="J207" s="1525">
        <f t="shared" si="7"/>
        <v>16888</v>
      </c>
      <c r="K207" s="1525">
        <f t="shared" si="7"/>
        <v>-238414</v>
      </c>
      <c r="L207" s="1525">
        <f t="shared" si="7"/>
        <v>-224497</v>
      </c>
      <c r="M207" s="1525">
        <f t="shared" si="7"/>
        <v>13917</v>
      </c>
    </row>
    <row r="208" spans="2:13">
      <c r="B208" s="1521" t="str">
        <f>IF(AND($E12=0,$F12=0,$G12=0,$H12=0,$I12=0,$J12=0,$K12=0,$L12=0,$M12=0),"",$B12)</f>
        <v>4. מפעלים</v>
      </c>
      <c r="C208" s="1522">
        <f>IF(AND($E12=0,$F12=0,$G12=0,$H12=0,$I12=0,$J12=0,$K12=0,$L12=0,$M12=0),"",$C12)</f>
        <v>4</v>
      </c>
      <c r="D208" s="1522">
        <f>IF(AND($E12=0,$F12=0,$G12=0,$H12=0,$I12=0,$J12=0,$K12=0,$L12=0,$M12=0),"",$D12)</f>
        <v>9</v>
      </c>
      <c r="E208" s="1525">
        <f t="shared" si="9"/>
        <v>46585</v>
      </c>
      <c r="F208" s="1525">
        <f t="shared" si="9"/>
        <v>52122</v>
      </c>
      <c r="G208" s="1525">
        <f t="shared" si="6"/>
        <v>5537</v>
      </c>
      <c r="H208" s="1525">
        <f t="shared" si="8"/>
        <v>36255</v>
      </c>
      <c r="I208" s="1525">
        <f t="shared" si="8"/>
        <v>34411</v>
      </c>
      <c r="J208" s="1525">
        <f t="shared" si="7"/>
        <v>1844</v>
      </c>
      <c r="K208" s="1525">
        <f t="shared" si="7"/>
        <v>10330</v>
      </c>
      <c r="L208" s="1525">
        <f t="shared" si="7"/>
        <v>17711</v>
      </c>
      <c r="M208" s="1525">
        <f t="shared" si="7"/>
        <v>7381</v>
      </c>
    </row>
    <row r="209" spans="2:13">
      <c r="B209" s="1521" t="str">
        <f>IF(AND($E13=0,$F13=0,$G13=0,$H13=0,$I13=0,$J13=0,$K13=0,$L13=0,$M13=0),"",$B13)</f>
        <v>5. בלתי רגילים</v>
      </c>
      <c r="C209" s="1522">
        <f>IF(AND($E13=0,$F13=0,$G13=0,$H13=0,$I13=0,$J13=0,$K13=0,$L13=0,$M13=0),"",$C13)</f>
        <v>5</v>
      </c>
      <c r="D209" s="1522">
        <f>IF(AND($E13=0,$F13=0,$G13=0,$H13=0,$I13=0,$J13=0,$K13=0,$L13=0,$M13=0),"",$D13)</f>
        <v>99</v>
      </c>
      <c r="E209" s="1525">
        <f t="shared" si="9"/>
        <v>38524</v>
      </c>
      <c r="F209" s="1525">
        <f t="shared" si="9"/>
        <v>33153</v>
      </c>
      <c r="G209" s="1525">
        <f t="shared" si="6"/>
        <v>-5371</v>
      </c>
      <c r="H209" s="1526">
        <f t="shared" si="8"/>
        <v>96869</v>
      </c>
      <c r="I209" s="1526">
        <f t="shared" si="8"/>
        <v>131404</v>
      </c>
      <c r="J209" s="1525">
        <f t="shared" si="7"/>
        <v>-34535</v>
      </c>
      <c r="K209" s="1525">
        <f t="shared" si="7"/>
        <v>-58345</v>
      </c>
      <c r="L209" s="1525">
        <f t="shared" si="7"/>
        <v>-98251</v>
      </c>
      <c r="M209" s="1525">
        <f t="shared" si="7"/>
        <v>-39906</v>
      </c>
    </row>
    <row r="210" spans="2:13">
      <c r="B210" s="1521" t="str">
        <f>IF(AND($E14=0,$F14=0,$G14=0,$H14=0,$I14=0,$J14=0,$K14=0,$L14=0,$M14=0),"",$B14)</f>
        <v>סה"כ הכנסות והוצאות מיועדות</v>
      </c>
      <c r="C210" s="1522">
        <f t="shared" ref="C210:D212" si="10">C14</f>
        <v>0</v>
      </c>
      <c r="D210" s="1522">
        <f t="shared" si="10"/>
        <v>0</v>
      </c>
      <c r="E210" s="1527">
        <f t="shared" si="9"/>
        <v>318555</v>
      </c>
      <c r="F210" s="1527">
        <f t="shared" si="9"/>
        <v>310784</v>
      </c>
      <c r="G210" s="1527">
        <f t="shared" si="6"/>
        <v>-7771</v>
      </c>
      <c r="H210" s="1527">
        <f t="shared" si="8"/>
        <v>836225</v>
      </c>
      <c r="I210" s="1527">
        <f t="shared" si="8"/>
        <v>836268</v>
      </c>
      <c r="J210" s="1527">
        <f t="shared" si="7"/>
        <v>-43</v>
      </c>
      <c r="K210" s="1527">
        <f t="shared" si="7"/>
        <v>-517670</v>
      </c>
      <c r="L210" s="1527">
        <f t="shared" si="7"/>
        <v>-525484</v>
      </c>
      <c r="M210" s="1527">
        <f t="shared" si="7"/>
        <v>-7814</v>
      </c>
    </row>
    <row r="211" spans="2:13">
      <c r="B211" s="2786">
        <f>B15</f>
        <v>0</v>
      </c>
      <c r="C211" s="1522">
        <f t="shared" si="10"/>
        <v>0</v>
      </c>
      <c r="D211" s="1522">
        <f t="shared" si="10"/>
        <v>0</v>
      </c>
      <c r="E211" s="1522">
        <f t="shared" si="9"/>
        <v>0</v>
      </c>
      <c r="F211" s="1522">
        <f t="shared" si="9"/>
        <v>0</v>
      </c>
      <c r="G211" s="1522">
        <f t="shared" si="6"/>
        <v>0</v>
      </c>
      <c r="H211" s="1522">
        <f t="shared" si="8"/>
        <v>0</v>
      </c>
      <c r="I211" s="1522">
        <f t="shared" si="8"/>
        <v>0</v>
      </c>
      <c r="J211" s="1522">
        <f t="shared" si="7"/>
        <v>0</v>
      </c>
      <c r="K211" s="1522">
        <f t="shared" si="7"/>
        <v>0</v>
      </c>
      <c r="L211" s="1522">
        <f t="shared" si="7"/>
        <v>0</v>
      </c>
      <c r="M211" s="1528">
        <f t="shared" si="7"/>
        <v>0</v>
      </c>
    </row>
    <row r="212" spans="2:13">
      <c r="B212" s="2787" t="str">
        <f>B16</f>
        <v>ב. הכנסות בלתי מיועדות</v>
      </c>
      <c r="C212" s="1529">
        <f t="shared" si="10"/>
        <v>0</v>
      </c>
      <c r="D212" s="1529">
        <f t="shared" si="10"/>
        <v>0</v>
      </c>
      <c r="E212" s="1529">
        <f t="shared" si="9"/>
        <v>0</v>
      </c>
      <c r="F212" s="1529">
        <f t="shared" si="9"/>
        <v>0</v>
      </c>
      <c r="G212" s="1529">
        <f t="shared" si="6"/>
        <v>0</v>
      </c>
      <c r="H212" s="1529">
        <f t="shared" si="8"/>
        <v>0</v>
      </c>
      <c r="I212" s="1529">
        <f t="shared" si="8"/>
        <v>0</v>
      </c>
      <c r="J212" s="1529">
        <f t="shared" si="7"/>
        <v>0</v>
      </c>
      <c r="K212" s="1529">
        <f t="shared" si="7"/>
        <v>0</v>
      </c>
      <c r="L212" s="1529">
        <f t="shared" si="7"/>
        <v>0</v>
      </c>
      <c r="M212" s="1530">
        <f t="shared" si="7"/>
        <v>0</v>
      </c>
    </row>
    <row r="213" spans="2:13">
      <c r="B213" s="1521" t="str">
        <f>IF(AND($E17=0,$F17=0,$G17=0,$K17=0,$L17=0,$M17=0),"",$B17)</f>
        <v>1. גביה ישירה</v>
      </c>
      <c r="C213" s="1522">
        <f>IF(AND($E17=0,$F17=0,$G17=0,$K17=0,$L17=0,$M17=0),"",$C17)</f>
        <v>1</v>
      </c>
      <c r="D213" s="1522">
        <f t="shared" ref="D213:D219" si="11">D17</f>
        <v>0</v>
      </c>
      <c r="E213" s="1525">
        <f t="shared" si="9"/>
        <v>517670</v>
      </c>
      <c r="F213" s="1525">
        <f t="shared" si="9"/>
        <v>543001</v>
      </c>
      <c r="G213" s="1525">
        <f t="shared" si="6"/>
        <v>25331</v>
      </c>
      <c r="H213" s="1522">
        <f t="shared" si="8"/>
        <v>0</v>
      </c>
      <c r="I213" s="1522">
        <f t="shared" si="8"/>
        <v>0</v>
      </c>
      <c r="J213" s="1522">
        <f t="shared" si="7"/>
        <v>0</v>
      </c>
      <c r="K213" s="1525">
        <f t="shared" si="7"/>
        <v>517670</v>
      </c>
      <c r="L213" s="1525">
        <f t="shared" si="7"/>
        <v>543001</v>
      </c>
      <c r="M213" s="1525">
        <f t="shared" si="7"/>
        <v>25331</v>
      </c>
    </row>
    <row r="214" spans="2:13">
      <c r="B214" s="1521" t="str">
        <f>IF(AND($E18=0,$F18=0,$G18=0,$K18=0,$L18=0,$M18=0),"",$B18)</f>
        <v/>
      </c>
      <c r="C214" s="1531" t="str">
        <f>IF(AND($E18=0,$F18=0,$G18=0,$K18=0,$L18=0,$M18=0),"",$C18)</f>
        <v/>
      </c>
      <c r="D214" s="1522">
        <f t="shared" si="11"/>
        <v>0</v>
      </c>
      <c r="E214" s="1525">
        <f t="shared" si="9"/>
        <v>0</v>
      </c>
      <c r="F214" s="1525">
        <f t="shared" si="9"/>
        <v>0</v>
      </c>
      <c r="G214" s="1525">
        <f t="shared" si="6"/>
        <v>0</v>
      </c>
      <c r="H214" s="1529">
        <f t="shared" si="8"/>
        <v>0</v>
      </c>
      <c r="I214" s="1529">
        <f t="shared" si="8"/>
        <v>0</v>
      </c>
      <c r="J214" s="1529">
        <f t="shared" si="7"/>
        <v>0</v>
      </c>
      <c r="K214" s="1525">
        <f t="shared" si="7"/>
        <v>0</v>
      </c>
      <c r="L214" s="1525">
        <f t="shared" si="7"/>
        <v>0</v>
      </c>
      <c r="M214" s="1525">
        <f t="shared" si="7"/>
        <v>0</v>
      </c>
    </row>
    <row r="215" spans="2:13">
      <c r="B215" s="1521" t="str">
        <f>IF(AND($E19=0,$F19=0,$G19=0,$K19=0,$L19=0,$M19=0),"",$B19)</f>
        <v/>
      </c>
      <c r="C215" s="1532">
        <f>C19</f>
        <v>0</v>
      </c>
      <c r="D215" s="1522">
        <f t="shared" si="11"/>
        <v>0</v>
      </c>
      <c r="E215" s="1525">
        <f t="shared" si="9"/>
        <v>0</v>
      </c>
      <c r="F215" s="1525">
        <f t="shared" si="9"/>
        <v>0</v>
      </c>
      <c r="G215" s="1525">
        <f t="shared" si="6"/>
        <v>0</v>
      </c>
      <c r="H215" s="1522">
        <f t="shared" si="8"/>
        <v>0</v>
      </c>
      <c r="I215" s="1522">
        <f t="shared" si="8"/>
        <v>0</v>
      </c>
      <c r="J215" s="1522">
        <f t="shared" si="7"/>
        <v>0</v>
      </c>
      <c r="K215" s="1525">
        <f t="shared" si="7"/>
        <v>0</v>
      </c>
      <c r="L215" s="1525">
        <f t="shared" si="7"/>
        <v>0</v>
      </c>
      <c r="M215" s="1525">
        <f t="shared" si="7"/>
        <v>0</v>
      </c>
    </row>
    <row r="216" spans="2:13">
      <c r="B216" s="1521" t="str">
        <f>IF(AND($E20=0,$F20=0,$G20=0,$K20=0,$L20=0,$M20=0),"",$B20)</f>
        <v/>
      </c>
      <c r="C216" s="1532">
        <f>C20</f>
        <v>0</v>
      </c>
      <c r="D216" s="1522">
        <f t="shared" si="11"/>
        <v>0</v>
      </c>
      <c r="E216" s="2639">
        <f t="shared" si="9"/>
        <v>0</v>
      </c>
      <c r="F216" s="2639">
        <f t="shared" si="9"/>
        <v>0</v>
      </c>
      <c r="G216" s="2639">
        <f t="shared" si="6"/>
        <v>0</v>
      </c>
      <c r="H216" s="1522">
        <f t="shared" si="8"/>
        <v>0</v>
      </c>
      <c r="I216" s="1522">
        <f t="shared" si="8"/>
        <v>0</v>
      </c>
      <c r="J216" s="1522">
        <f t="shared" si="7"/>
        <v>0</v>
      </c>
      <c r="K216" s="2639">
        <f t="shared" si="7"/>
        <v>0</v>
      </c>
      <c r="L216" s="2639">
        <f t="shared" si="7"/>
        <v>0</v>
      </c>
      <c r="M216" s="2639">
        <f t="shared" si="7"/>
        <v>0</v>
      </c>
    </row>
    <row r="217" spans="2:13">
      <c r="B217" s="1521" t="str">
        <f>IF(AND($E21=0,$D21=0,$F21=0,$G21=0,$H21=0,$I21=0,$J21=0,$K21=0,$L21=0,$M21=0),"",$B21)</f>
        <v>סה"כ הכנסות בלתי מיועדות</v>
      </c>
      <c r="C217" s="1533">
        <f>C21</f>
        <v>0</v>
      </c>
      <c r="D217" s="1533">
        <f t="shared" si="11"/>
        <v>0</v>
      </c>
      <c r="E217" s="1527">
        <f t="shared" si="9"/>
        <v>517670</v>
      </c>
      <c r="F217" s="1527">
        <f t="shared" si="9"/>
        <v>543001</v>
      </c>
      <c r="G217" s="1527">
        <f t="shared" si="6"/>
        <v>25331</v>
      </c>
      <c r="H217" s="1529">
        <f t="shared" si="8"/>
        <v>0</v>
      </c>
      <c r="I217" s="1529">
        <f t="shared" si="8"/>
        <v>0</v>
      </c>
      <c r="J217" s="1529">
        <f t="shared" si="7"/>
        <v>0</v>
      </c>
      <c r="K217" s="1527">
        <f t="shared" si="7"/>
        <v>517670</v>
      </c>
      <c r="L217" s="1527">
        <f t="shared" si="7"/>
        <v>543001</v>
      </c>
      <c r="M217" s="1527">
        <f t="shared" si="7"/>
        <v>25331</v>
      </c>
    </row>
    <row r="218" spans="2:13">
      <c r="B218" s="1521">
        <f>B22</f>
        <v>0</v>
      </c>
      <c r="C218" s="1522">
        <f>C22</f>
        <v>0</v>
      </c>
      <c r="D218" s="1522">
        <f t="shared" si="11"/>
        <v>0</v>
      </c>
      <c r="E218" s="1522">
        <f t="shared" si="9"/>
        <v>0</v>
      </c>
      <c r="F218" s="1522">
        <f t="shared" si="9"/>
        <v>0</v>
      </c>
      <c r="G218" s="1522">
        <f t="shared" si="6"/>
        <v>0</v>
      </c>
      <c r="H218" s="1522">
        <f t="shared" si="8"/>
        <v>0</v>
      </c>
      <c r="I218" s="1522">
        <f t="shared" si="8"/>
        <v>0</v>
      </c>
      <c r="J218" s="1522">
        <f t="shared" si="7"/>
        <v>0</v>
      </c>
      <c r="K218" s="1522">
        <f t="shared" si="7"/>
        <v>0</v>
      </c>
      <c r="L218" s="1522">
        <f t="shared" si="7"/>
        <v>0</v>
      </c>
      <c r="M218" s="1528">
        <f t="shared" si="7"/>
        <v>0</v>
      </c>
    </row>
    <row r="219" spans="2:13" ht="13.8" thickBot="1">
      <c r="B219" s="1521" t="str">
        <f>IF(AND($E23=0,$F23=0,$G23=0,$H23=0,$I23=0,$J23=0,$K23=0,$L23=0,$M23=0),"",$B23)</f>
        <v>סה"כ כללי</v>
      </c>
      <c r="C219" s="1534">
        <f>C23</f>
        <v>0</v>
      </c>
      <c r="D219" s="1534">
        <f t="shared" si="11"/>
        <v>0</v>
      </c>
      <c r="E219" s="1535">
        <f t="shared" si="9"/>
        <v>836225</v>
      </c>
      <c r="F219" s="1535">
        <f t="shared" si="9"/>
        <v>853785</v>
      </c>
      <c r="G219" s="1535">
        <f t="shared" si="6"/>
        <v>17560</v>
      </c>
      <c r="H219" s="1535">
        <f t="shared" si="8"/>
        <v>836225</v>
      </c>
      <c r="I219" s="1535">
        <f t="shared" si="8"/>
        <v>836268</v>
      </c>
      <c r="J219" s="1535">
        <f t="shared" si="7"/>
        <v>-43</v>
      </c>
      <c r="K219" s="1535">
        <f t="shared" si="7"/>
        <v>0</v>
      </c>
      <c r="L219" s="1535">
        <f t="shared" si="7"/>
        <v>17517</v>
      </c>
      <c r="M219" s="1535">
        <f t="shared" si="7"/>
        <v>17517</v>
      </c>
    </row>
    <row r="220" spans="2:13" ht="13.8" thickTop="1">
      <c r="B220" s="2786" t="str">
        <f>B24</f>
        <v>אי איזון תקציבי</v>
      </c>
      <c r="C220" s="1534"/>
      <c r="D220" s="1534"/>
      <c r="E220" s="1536"/>
      <c r="F220" s="1536"/>
      <c r="G220" s="1536"/>
      <c r="H220" s="1536"/>
      <c r="I220" s="1536"/>
      <c r="J220" s="1536"/>
      <c r="K220" s="1536"/>
      <c r="L220" s="1536"/>
      <c r="M220" s="1537">
        <f>M24</f>
        <v>0</v>
      </c>
    </row>
    <row r="221" spans="2:13" ht="13.8" thickBot="1">
      <c r="B221" s="2786" t="str">
        <f>B25</f>
        <v>הסטיה נטו עודף (גרעון)</v>
      </c>
      <c r="C221" s="1534"/>
      <c r="D221" s="1534"/>
      <c r="E221" s="1536"/>
      <c r="F221" s="1536"/>
      <c r="G221" s="1536"/>
      <c r="H221" s="1536"/>
      <c r="I221" s="1536"/>
      <c r="J221" s="1536"/>
      <c r="K221" s="1536"/>
      <c r="L221" s="1536"/>
      <c r="M221" s="1537">
        <f>M25</f>
        <v>17517</v>
      </c>
    </row>
    <row r="222" spans="2:13" ht="13.8" thickTop="1">
      <c r="B222" s="1538">
        <f t="shared" ref="B222:L222" si="12">B26</f>
        <v>0</v>
      </c>
      <c r="C222" s="1539">
        <f t="shared" si="12"/>
        <v>0</v>
      </c>
      <c r="D222" s="1523">
        <f t="shared" si="12"/>
        <v>0</v>
      </c>
      <c r="E222" s="1523">
        <f t="shared" si="12"/>
        <v>0</v>
      </c>
      <c r="F222" s="1540">
        <f t="shared" si="12"/>
        <v>0</v>
      </c>
      <c r="G222" s="1540">
        <f t="shared" si="12"/>
        <v>0</v>
      </c>
      <c r="H222" s="1540">
        <f t="shared" si="12"/>
        <v>0</v>
      </c>
      <c r="I222" s="1540">
        <f t="shared" si="12"/>
        <v>0</v>
      </c>
      <c r="J222" s="1540">
        <f t="shared" si="12"/>
        <v>0</v>
      </c>
      <c r="K222" s="1540">
        <f t="shared" si="12"/>
        <v>0</v>
      </c>
      <c r="L222" s="1540">
        <f t="shared" si="12"/>
        <v>0</v>
      </c>
      <c r="M222" s="1541">
        <f>M26</f>
        <v>0</v>
      </c>
    </row>
  </sheetData>
  <sheetProtection password="83C1" sheet="1" objects="1" scenarios="1"/>
  <dataConsolidate/>
  <mergeCells count="12">
    <mergeCell ref="D1:L1"/>
    <mergeCell ref="D2:L2"/>
    <mergeCell ref="D3:L3"/>
    <mergeCell ref="F6:F7"/>
    <mergeCell ref="E6:E7"/>
    <mergeCell ref="B197:M197"/>
    <mergeCell ref="C6:C7"/>
    <mergeCell ref="D6:D7"/>
    <mergeCell ref="B196:M196"/>
    <mergeCell ref="B195:M195"/>
    <mergeCell ref="H6:H7"/>
    <mergeCell ref="I6:I7"/>
  </mergeCells>
  <phoneticPr fontId="4" type="noConversion"/>
  <hyperlinks>
    <hyperlink ref="A4" location="'תוכן הענינים'!A1" tooltip="לחץ להצגת גליון תוכן הענינים" display="הצג תוכן ענינים"/>
  </hyperlinks>
  <printOptions horizontalCentered="1"/>
  <pageMargins left="0.32" right="0.38" top="0.75" bottom="0.35433070866141703" header="0.25" footer="3.9370078740157501E-2"/>
  <pageSetup paperSize="9" scale="88" orientation="landscape" blackAndWhite="1" horizontalDpi="300" verticalDpi="300" r:id="rId1"/>
  <headerFooter alignWithMargins="0">
    <oddHeader>&amp;L&amp;8&amp;A</oddHeader>
    <oddFooter>&amp;C&amp;8&amp;P</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7">
    <pageSetUpPr autoPageBreaks="0"/>
  </sheetPr>
  <dimension ref="A1:Q270"/>
  <sheetViews>
    <sheetView showGridLines="0" showRowColHeaders="0" showZeros="0" rightToLeft="1" showOutlineSymbols="0" zoomScaleNormal="100" zoomScaleSheetLayoutView="75" workbookViewId="0">
      <selection activeCell="A4" sqref="A4"/>
    </sheetView>
  </sheetViews>
  <sheetFormatPr defaultColWidth="9.109375" defaultRowHeight="13.2"/>
  <cols>
    <col min="1" max="1" width="8.6640625" style="1277" customWidth="1"/>
    <col min="2" max="2" width="3.6640625" style="1277" customWidth="1"/>
    <col min="3" max="3" width="27.33203125" style="1277" customWidth="1"/>
    <col min="4" max="4" width="4.44140625" style="1277" customWidth="1"/>
    <col min="5" max="5" width="10.44140625" style="1277" customWidth="1"/>
    <col min="6" max="6" width="2.6640625" style="1277" customWidth="1"/>
    <col min="7" max="7" width="10.44140625" style="1358" customWidth="1"/>
    <col min="8" max="8" width="2.6640625" style="1277" customWidth="1"/>
    <col min="9" max="9" width="10.44140625" style="1277" customWidth="1"/>
    <col min="10" max="10" width="2.6640625" style="1277" customWidth="1"/>
    <col min="11" max="11" width="10.44140625" style="1277" customWidth="1"/>
    <col min="12" max="12" width="2.6640625" style="1277" customWidth="1"/>
    <col min="13" max="13" width="10.44140625" style="1277" customWidth="1"/>
    <col min="14" max="14" width="1.88671875" style="1277" customWidth="1"/>
    <col min="15" max="15" width="10.44140625" style="1277" customWidth="1"/>
    <col min="16" max="16" width="11" style="1277" customWidth="1"/>
    <col min="17" max="16384" width="9.109375" style="1277"/>
  </cols>
  <sheetData>
    <row r="1" spans="1:17" ht="14.25" customHeight="1">
      <c r="A1" s="1407"/>
      <c r="B1" s="1273"/>
      <c r="C1" s="1408"/>
      <c r="D1" s="1409"/>
      <c r="E1" s="3575" t="str">
        <f>'הגדרות כלליות'!D6</f>
        <v>עירית הרצליה</v>
      </c>
      <c r="F1" s="3575"/>
      <c r="G1" s="3575"/>
      <c r="H1" s="3575"/>
      <c r="I1" s="3575"/>
      <c r="J1" s="3575"/>
      <c r="K1" s="3575"/>
      <c r="L1" s="3575"/>
      <c r="M1" s="3575"/>
      <c r="N1" s="3575"/>
      <c r="O1" s="3575"/>
      <c r="P1" s="3575"/>
      <c r="Q1" s="1281"/>
    </row>
    <row r="2" spans="1:17" ht="16.5" customHeight="1">
      <c r="A2" s="1273"/>
      <c r="B2" s="1273"/>
      <c r="C2" s="1274"/>
      <c r="D2" s="3560" t="s">
        <v>45</v>
      </c>
      <c r="E2" s="3560"/>
      <c r="F2" s="3560"/>
      <c r="G2" s="3560"/>
      <c r="H2" s="3560"/>
      <c r="I2" s="3560"/>
      <c r="J2" s="3560"/>
      <c r="K2" s="3560"/>
      <c r="L2" s="3560"/>
      <c r="M2" s="3560"/>
      <c r="N2" s="3560"/>
      <c r="O2" s="3560"/>
      <c r="P2" s="3560"/>
      <c r="Q2" s="1281"/>
    </row>
    <row r="3" spans="1:17" ht="17.399999999999999">
      <c r="A3" s="1273"/>
      <c r="B3" s="1273"/>
      <c r="C3" s="1274"/>
      <c r="D3" s="3560" t="str">
        <f>CONCATENATE("לשנה שנסתיימה ביום 31 בדצמבר ",'הגדרות כלליות'!D10, " (אלפי ש''ח) ")</f>
        <v xml:space="preserve">לשנה שנסתיימה ביום 31 בדצמבר 2015 (אלפי ש''ח) </v>
      </c>
      <c r="E3" s="3560"/>
      <c r="F3" s="3560"/>
      <c r="G3" s="3560"/>
      <c r="H3" s="3560"/>
      <c r="I3" s="3560"/>
      <c r="J3" s="3560"/>
      <c r="K3" s="3560"/>
      <c r="L3" s="3560"/>
      <c r="M3" s="3560"/>
      <c r="N3" s="3560"/>
      <c r="O3" s="3560"/>
      <c r="P3" s="3560"/>
      <c r="Q3" s="1281"/>
    </row>
    <row r="4" spans="1:17" ht="18.75" customHeight="1">
      <c r="A4" s="7" t="s">
        <v>339</v>
      </c>
      <c r="B4" s="1280"/>
      <c r="C4" s="1410"/>
      <c r="D4" s="1410"/>
      <c r="E4" s="1410"/>
      <c r="F4" s="1410"/>
      <c r="G4" s="1410"/>
      <c r="H4" s="1410"/>
      <c r="I4" s="1410"/>
      <c r="J4" s="1410"/>
      <c r="K4" s="1410"/>
      <c r="L4" s="1410"/>
      <c r="M4" s="1410"/>
      <c r="N4" s="1410"/>
      <c r="O4" s="1410"/>
      <c r="P4" s="1410"/>
      <c r="Q4" s="1281"/>
    </row>
    <row r="5" spans="1:17">
      <c r="A5" s="3586"/>
      <c r="B5" s="1411"/>
      <c r="C5" s="3574" t="s">
        <v>46</v>
      </c>
      <c r="D5" s="1412"/>
      <c r="E5" s="3587" t="s">
        <v>395</v>
      </c>
      <c r="F5" s="2706"/>
      <c r="G5" s="3589" t="s">
        <v>396</v>
      </c>
      <c r="H5" s="2706"/>
      <c r="I5" s="3587" t="s">
        <v>899</v>
      </c>
      <c r="J5" s="2706"/>
      <c r="K5" s="3587" t="s">
        <v>931</v>
      </c>
      <c r="L5" s="2706"/>
      <c r="M5" s="3587" t="str">
        <f>CONCATENATE("ביצוע ",ShanaKodemet)</f>
        <v>ביצוע 2014</v>
      </c>
      <c r="N5" s="2706"/>
      <c r="O5" s="3590" t="s">
        <v>899</v>
      </c>
      <c r="P5" s="1346"/>
      <c r="Q5" s="1281"/>
    </row>
    <row r="6" spans="1:17">
      <c r="A6" s="3586"/>
      <c r="B6" s="1413"/>
      <c r="C6" s="3402"/>
      <c r="D6" s="1414"/>
      <c r="E6" s="3588"/>
      <c r="F6" s="2705"/>
      <c r="G6" s="3588"/>
      <c r="H6" s="2705"/>
      <c r="I6" s="3588"/>
      <c r="J6" s="2705"/>
      <c r="K6" s="3592"/>
      <c r="L6" s="2705"/>
      <c r="M6" s="3592"/>
      <c r="N6" s="2705"/>
      <c r="O6" s="3591"/>
      <c r="P6" s="1346"/>
      <c r="Q6" s="1281"/>
    </row>
    <row r="7" spans="1:17">
      <c r="A7" s="1280"/>
      <c r="B7" s="2708"/>
      <c r="C7" s="2707" t="s">
        <v>524</v>
      </c>
      <c r="D7" s="584"/>
      <c r="E7" s="2709"/>
      <c r="F7" s="2710"/>
      <c r="G7" s="2709"/>
      <c r="H7" s="2710"/>
      <c r="I7" s="2709"/>
      <c r="J7" s="2710"/>
      <c r="K7" s="2710"/>
      <c r="L7" s="2710"/>
      <c r="M7" s="2710"/>
      <c r="N7" s="2710"/>
      <c r="O7" s="2711"/>
      <c r="P7" s="1346"/>
      <c r="Q7" s="1281"/>
    </row>
    <row r="8" spans="1:17">
      <c r="A8" s="1280"/>
      <c r="B8" s="1288"/>
      <c r="C8" s="2906" t="s">
        <v>1435</v>
      </c>
      <c r="D8" s="1415"/>
      <c r="E8" s="1297">
        <f>'נתונים לנספח 1 לטופס 2'!C8</f>
        <v>463500</v>
      </c>
      <c r="F8" s="1295"/>
      <c r="G8" s="1297">
        <f>'נתונים לנספח 1 לטופס 2'!D8</f>
        <v>492711</v>
      </c>
      <c r="H8" s="1417"/>
      <c r="I8" s="3011">
        <f t="shared" ref="I8:I19" si="0">IF($G$21&lt;&gt;0,G8/$G$21,0)</f>
        <v>0.57709025105852174</v>
      </c>
      <c r="J8" s="1415"/>
      <c r="K8" s="1297">
        <f>G8-E8</f>
        <v>29211</v>
      </c>
      <c r="L8" s="1295"/>
      <c r="M8" s="1297">
        <f>'נתונים לנספח 1 לטופס 2'!E8</f>
        <v>453833</v>
      </c>
      <c r="N8" s="1318"/>
      <c r="O8" s="3013">
        <f t="shared" ref="O8:O19" si="1">IF($M$21 &lt;&gt; 0,M8/$M$21,0)</f>
        <v>0.57036050245382963</v>
      </c>
      <c r="P8" s="1346"/>
      <c r="Q8" s="1281"/>
    </row>
    <row r="9" spans="1:17" ht="15" customHeight="1">
      <c r="A9" s="1280"/>
      <c r="B9" s="2635"/>
      <c r="C9" s="2906" t="s">
        <v>200</v>
      </c>
      <c r="D9" s="1415"/>
      <c r="E9" s="1297">
        <f>'נתונים לנספח 1 לטופס 2'!C13</f>
        <v>51000</v>
      </c>
      <c r="F9" s="1295"/>
      <c r="G9" s="1297">
        <f>'נתונים לנספח 1 לטופס 2'!D13</f>
        <v>47195</v>
      </c>
      <c r="H9" s="1417"/>
      <c r="I9" s="3011">
        <f t="shared" si="0"/>
        <v>5.5277382479195579E-2</v>
      </c>
      <c r="J9" s="1415"/>
      <c r="K9" s="1297">
        <f>G9-E9</f>
        <v>-3805</v>
      </c>
      <c r="L9" s="1295"/>
      <c r="M9" s="1297">
        <f>'נתונים לנספח 1 לטופס 2'!E13</f>
        <v>46221</v>
      </c>
      <c r="N9" s="1318"/>
      <c r="O9" s="3013">
        <f t="shared" si="1"/>
        <v>5.8088840573335257E-2</v>
      </c>
      <c r="P9" s="1346"/>
      <c r="Q9" s="1281"/>
    </row>
    <row r="10" spans="1:17" ht="15" customHeight="1">
      <c r="A10" s="1280"/>
      <c r="B10" s="2635"/>
      <c r="C10" s="1292" t="s">
        <v>1503</v>
      </c>
      <c r="D10" s="1415"/>
      <c r="E10" s="1297">
        <f>'נתונים לנספח 1 לטופס 2'!C9</f>
        <v>2610</v>
      </c>
      <c r="F10" s="1295"/>
      <c r="G10" s="1297">
        <f>'נתונים לנספח 1 לטופס 2'!D9</f>
        <v>2879</v>
      </c>
      <c r="H10" s="1417"/>
      <c r="I10" s="3011">
        <f t="shared" si="0"/>
        <v>3.372043313012058E-3</v>
      </c>
      <c r="J10" s="1415"/>
      <c r="K10" s="1297">
        <f t="shared" ref="K10:K19" si="2">G10-E10</f>
        <v>269</v>
      </c>
      <c r="L10" s="1295"/>
      <c r="M10" s="1297">
        <f>'נתונים לנספח 1 לטופס 2'!E9</f>
        <v>2858</v>
      </c>
      <c r="N10" s="1318"/>
      <c r="O10" s="3013">
        <f t="shared" si="1"/>
        <v>3.5918285272623306E-3</v>
      </c>
      <c r="P10" s="1346"/>
      <c r="Q10" s="1281"/>
    </row>
    <row r="11" spans="1:17" ht="15" customHeight="1">
      <c r="A11" s="1280"/>
      <c r="B11" s="2635"/>
      <c r="C11" s="1292" t="s">
        <v>1443</v>
      </c>
      <c r="D11" s="1415"/>
      <c r="E11" s="1297">
        <f>'נתונים לנספח 1 לטופס 2'!C12+'נתונים לנספח 1 לטופס 2'!C10+'נתונים לנספח 1 לטופס 2'!C11+'נתונים לנספח 1 לטופס 2'!C15</f>
        <v>87057</v>
      </c>
      <c r="F11" s="1295"/>
      <c r="G11" s="1297">
        <f>'נתונים לנספח 1 לטופס 2'!D12+'נתונים לנספח 1 לטופס 2'!D10+'נתונים לנספח 1 לטופס 2'!D11+'נתונים לנספח 1 לטופס 2'!D15</f>
        <v>86925</v>
      </c>
      <c r="H11" s="1417"/>
      <c r="I11" s="3011">
        <f t="shared" si="0"/>
        <v>0.10181134594775031</v>
      </c>
      <c r="J11" s="1415"/>
      <c r="K11" s="1297">
        <f t="shared" si="2"/>
        <v>-132</v>
      </c>
      <c r="L11" s="1295"/>
      <c r="M11" s="1297">
        <f>'נתונים לנספח 1 לטופס 2'!E12+'נתונים לנספח 1 לטופס 2'!E11+'נתונים לנספח 1 לטופס 2'!E10+'נתונים לנספח 1 לטופס 2'!E15</f>
        <v>77707</v>
      </c>
      <c r="N11" s="1318"/>
      <c r="O11" s="3013">
        <f t="shared" si="1"/>
        <v>9.7659278995092344E-2</v>
      </c>
      <c r="P11" s="1346"/>
      <c r="Q11" s="1281"/>
    </row>
    <row r="12" spans="1:17" ht="15" customHeight="1">
      <c r="A12" s="1280"/>
      <c r="B12" s="2635"/>
      <c r="C12" s="1292" t="s">
        <v>710</v>
      </c>
      <c r="D12" s="1415"/>
      <c r="E12" s="1297">
        <f>'נתונים לנספח 1 לטופס 2'!C22</f>
        <v>136736</v>
      </c>
      <c r="F12" s="1295"/>
      <c r="G12" s="1297">
        <f>'נתונים לנספח 1 לטופס 2'!D22</f>
        <v>135863</v>
      </c>
      <c r="H12" s="1417"/>
      <c r="I12" s="3011">
        <f t="shared" si="0"/>
        <v>0.1591302259936635</v>
      </c>
      <c r="J12" s="1415"/>
      <c r="K12" s="1297">
        <f t="shared" si="2"/>
        <v>-873</v>
      </c>
      <c r="L12" s="1295"/>
      <c r="M12" s="1297">
        <f>'נתונים לנספח 1 לטופס 2'!E22</f>
        <v>130249</v>
      </c>
      <c r="N12" s="1318"/>
      <c r="O12" s="3013">
        <f t="shared" si="1"/>
        <v>0.16369211821112362</v>
      </c>
      <c r="P12" s="1346"/>
      <c r="Q12" s="1281"/>
    </row>
    <row r="13" spans="1:17" ht="15" customHeight="1">
      <c r="A13" s="1280"/>
      <c r="B13" s="2635"/>
      <c r="C13" s="1292" t="s">
        <v>1422</v>
      </c>
      <c r="D13" s="1415"/>
      <c r="E13" s="1297">
        <f>'נתונים לנספח 1 לטופס 2'!C23</f>
        <v>52388</v>
      </c>
      <c r="F13" s="1295"/>
      <c r="G13" s="1297">
        <f>'נתונים לנספח 1 לטופס 2'!D23</f>
        <v>51067</v>
      </c>
      <c r="H13" s="1417"/>
      <c r="I13" s="3011">
        <f t="shared" si="0"/>
        <v>5.9812482065156922E-2</v>
      </c>
      <c r="J13" s="1415"/>
      <c r="K13" s="1297">
        <f t="shared" si="2"/>
        <v>-1321</v>
      </c>
      <c r="L13" s="1295"/>
      <c r="M13" s="1297">
        <f>'נתונים לנספח 1 לטופס 2'!E23</f>
        <v>47943</v>
      </c>
      <c r="N13" s="1318"/>
      <c r="O13" s="3013">
        <f t="shared" si="1"/>
        <v>6.0252986382973377E-2</v>
      </c>
      <c r="P13" s="1280"/>
      <c r="Q13" s="1281"/>
    </row>
    <row r="14" spans="1:17" ht="15" customHeight="1">
      <c r="A14" s="1280"/>
      <c r="B14" s="2635"/>
      <c r="C14" s="1292" t="s">
        <v>1426</v>
      </c>
      <c r="D14" s="1415"/>
      <c r="E14" s="1297">
        <f>'נתונים לנספח 1 לטופס 2'!C24+'נתונים לנספח 1 לטופס 2'!C25+'נתונים לנספח 1 לטופס 2'!C26</f>
        <v>3304</v>
      </c>
      <c r="F14" s="1295"/>
      <c r="G14" s="1297">
        <f>'נתונים לנספח 1 לטופס 2'!D24+'נתונים לנספח 1 לטופס 2'!D25+'נתונים לנספח 1 לטופס 2'!D26</f>
        <v>2896</v>
      </c>
      <c r="H14" s="1417"/>
      <c r="I14" s="3011">
        <f t="shared" si="0"/>
        <v>3.3919546490041403E-3</v>
      </c>
      <c r="J14" s="1415"/>
      <c r="K14" s="1297">
        <f t="shared" si="2"/>
        <v>-408</v>
      </c>
      <c r="L14" s="1295"/>
      <c r="M14" s="1297">
        <f>'נתונים לנספח 1 לטופס 2'!E24+'נתונים לנספח 1 לטופס 2'!E25+'נתונים לנספח 1 לטופס 2'!E26</f>
        <v>3457</v>
      </c>
      <c r="N14" s="1318"/>
      <c r="O14" s="3013">
        <f t="shared" si="1"/>
        <v>4.3446295376997467E-3</v>
      </c>
      <c r="P14" s="1346"/>
      <c r="Q14" s="1281"/>
    </row>
    <row r="15" spans="1:17" ht="15" customHeight="1">
      <c r="A15" s="1280"/>
      <c r="B15" s="2635"/>
      <c r="C15" s="1292" t="s">
        <v>905</v>
      </c>
      <c r="D15" s="1415"/>
      <c r="E15" s="1297">
        <f>'נספח 1 לטופס 2'!D23</f>
        <v>0</v>
      </c>
      <c r="F15" s="1295"/>
      <c r="G15" s="1297">
        <f>'נספח 1 לטופס 2'!F23</f>
        <v>0</v>
      </c>
      <c r="H15" s="1417"/>
      <c r="I15" s="3011">
        <f t="shared" si="0"/>
        <v>0</v>
      </c>
      <c r="J15" s="1415"/>
      <c r="K15" s="1297">
        <f t="shared" si="2"/>
        <v>0</v>
      </c>
      <c r="L15" s="1295"/>
      <c r="M15" s="1297">
        <f>'נספח 1 לטופס 2'!N23</f>
        <v>0</v>
      </c>
      <c r="N15" s="1318"/>
      <c r="O15" s="3013">
        <f t="shared" si="1"/>
        <v>0</v>
      </c>
      <c r="P15" s="1346"/>
      <c r="Q15" s="1281"/>
    </row>
    <row r="16" spans="1:17" ht="15" customHeight="1">
      <c r="A16" s="1280"/>
      <c r="B16" s="2635"/>
      <c r="C16" s="1292" t="s">
        <v>60</v>
      </c>
      <c r="D16" s="1415"/>
      <c r="E16" s="1297">
        <f>'נספח 1 לטופס 2'!D26</f>
        <v>0</v>
      </c>
      <c r="F16" s="1295"/>
      <c r="G16" s="1297">
        <f>'נספח 1 לטופס 2'!F26</f>
        <v>0</v>
      </c>
      <c r="H16" s="1417"/>
      <c r="I16" s="3011">
        <f t="shared" si="0"/>
        <v>0</v>
      </c>
      <c r="J16" s="1415"/>
      <c r="K16" s="1297">
        <f t="shared" si="2"/>
        <v>0</v>
      </c>
      <c r="L16" s="1295"/>
      <c r="M16" s="1297">
        <f>'נספח 1 לטופס 2'!N26</f>
        <v>0</v>
      </c>
      <c r="N16" s="1318"/>
      <c r="O16" s="3013">
        <f t="shared" si="1"/>
        <v>0</v>
      </c>
      <c r="P16" s="1346"/>
      <c r="Q16" s="1281"/>
    </row>
    <row r="17" spans="1:17" ht="15" customHeight="1">
      <c r="A17" s="1280"/>
      <c r="B17" s="2635"/>
      <c r="C17" s="1327" t="s">
        <v>7</v>
      </c>
      <c r="D17" s="1415"/>
      <c r="E17" s="1297">
        <f>'נספח 1 לטופס 2'!D24</f>
        <v>0</v>
      </c>
      <c r="F17" s="1295"/>
      <c r="G17" s="1297">
        <f>'נספח 1 לטופס 2'!F24</f>
        <v>0</v>
      </c>
      <c r="H17" s="1417"/>
      <c r="I17" s="3011">
        <f t="shared" si="0"/>
        <v>0</v>
      </c>
      <c r="J17" s="1415"/>
      <c r="K17" s="1297">
        <f t="shared" si="2"/>
        <v>0</v>
      </c>
      <c r="L17" s="1295"/>
      <c r="M17" s="1297">
        <f>'נספח 1 לטופס 2'!N24</f>
        <v>0</v>
      </c>
      <c r="N17" s="1318"/>
      <c r="O17" s="3013">
        <f t="shared" si="1"/>
        <v>0</v>
      </c>
      <c r="P17" s="1346"/>
      <c r="Q17" s="1281"/>
    </row>
    <row r="18" spans="1:17" ht="15" customHeight="1">
      <c r="A18" s="1280"/>
      <c r="B18" s="2635"/>
      <c r="C18" s="1327" t="s">
        <v>47</v>
      </c>
      <c r="D18" s="1415"/>
      <c r="E18" s="1297">
        <f>'נספח 1 לטופס 2'!D27</f>
        <v>1486</v>
      </c>
      <c r="F18" s="1295"/>
      <c r="G18" s="1297">
        <f>'נספח 1 לטופס 2'!F27</f>
        <v>1324</v>
      </c>
      <c r="H18" s="1417"/>
      <c r="I18" s="3011">
        <f t="shared" si="0"/>
        <v>1.550741697265705E-3</v>
      </c>
      <c r="J18" s="1415"/>
      <c r="K18" s="1297">
        <f t="shared" si="2"/>
        <v>-162</v>
      </c>
      <c r="L18" s="1295"/>
      <c r="M18" s="1297">
        <f>'נספח 1 לטופס 2'!N27</f>
        <v>327</v>
      </c>
      <c r="N18" s="1318"/>
      <c r="O18" s="3013">
        <f t="shared" si="1"/>
        <v>4.1096148649922393E-4</v>
      </c>
      <c r="P18" s="1346"/>
      <c r="Q18" s="1281"/>
    </row>
    <row r="19" spans="1:17" ht="15" customHeight="1">
      <c r="A19" s="1280"/>
      <c r="B19" s="2635"/>
      <c r="C19" s="1327" t="s">
        <v>724</v>
      </c>
      <c r="D19" s="1415"/>
      <c r="E19" s="1297">
        <f>'נתונים לנספח 1 לטופס 2'!C14</f>
        <v>38144</v>
      </c>
      <c r="F19" s="1295"/>
      <c r="G19" s="1297">
        <f>'נתונים לנספח 1 לטופס 2'!D14</f>
        <v>32925</v>
      </c>
      <c r="H19" s="1417"/>
      <c r="I19" s="3011">
        <f t="shared" si="0"/>
        <v>3.8563572796430017E-2</v>
      </c>
      <c r="J19" s="1415"/>
      <c r="K19" s="1297">
        <f t="shared" si="2"/>
        <v>-5219</v>
      </c>
      <c r="L19" s="1295"/>
      <c r="M19" s="1297">
        <f>'נתונים לנספח 1 לטופס 2'!E14</f>
        <v>33100</v>
      </c>
      <c r="N19" s="1318"/>
      <c r="O19" s="3013">
        <f t="shared" si="1"/>
        <v>4.1598853832184444E-2</v>
      </c>
      <c r="P19" s="1346"/>
      <c r="Q19" s="1281"/>
    </row>
    <row r="20" spans="1:17" ht="3" customHeight="1">
      <c r="A20" s="1280"/>
      <c r="B20" s="1288"/>
      <c r="C20" s="1292"/>
      <c r="D20" s="1292"/>
      <c r="E20" s="1295"/>
      <c r="F20" s="1295"/>
      <c r="G20" s="1295"/>
      <c r="H20" s="1425"/>
      <c r="I20" s="1417"/>
      <c r="J20" s="1292"/>
      <c r="K20" s="1295"/>
      <c r="L20" s="1295"/>
      <c r="M20" s="1295"/>
      <c r="N20" s="1292"/>
      <c r="O20" s="1426"/>
      <c r="P20" s="1346"/>
      <c r="Q20" s="1281"/>
    </row>
    <row r="21" spans="1:17" ht="15" customHeight="1">
      <c r="A21" s="1280"/>
      <c r="B21" s="1288"/>
      <c r="C21" s="1292" t="s">
        <v>48</v>
      </c>
      <c r="D21" s="1289"/>
      <c r="E21" s="2716">
        <f>SUM(E8:E19)</f>
        <v>836225</v>
      </c>
      <c r="F21" s="1295"/>
      <c r="G21" s="2716">
        <f>SUM(G8:G19)</f>
        <v>853785</v>
      </c>
      <c r="H21" s="1417"/>
      <c r="I21" s="3012">
        <f>IF(G21&lt;&gt;0,1,0)</f>
        <v>1</v>
      </c>
      <c r="J21" s="1415"/>
      <c r="K21" s="2716">
        <f>SUM(K8:K19)</f>
        <v>17560</v>
      </c>
      <c r="L21" s="1295"/>
      <c r="M21" s="2716">
        <f>SUM(M8:M19)</f>
        <v>795695</v>
      </c>
      <c r="N21" s="1318"/>
      <c r="O21" s="3014">
        <f>IF(M21&lt;&gt;0,1,0)</f>
        <v>1</v>
      </c>
      <c r="P21" s="1346"/>
      <c r="Q21" s="1281"/>
    </row>
    <row r="22" spans="1:17" ht="15" customHeight="1">
      <c r="A22" s="1280"/>
      <c r="B22" s="1288"/>
      <c r="C22" s="1292" t="s">
        <v>51</v>
      </c>
      <c r="D22" s="1289"/>
      <c r="E22" s="1297">
        <f>'נספח 1 לטופס 2'!D25</f>
        <v>0</v>
      </c>
      <c r="F22" s="1295"/>
      <c r="G22" s="1297">
        <f>'נספח 1 לטופס 2'!F25</f>
        <v>0</v>
      </c>
      <c r="H22" s="1417"/>
      <c r="I22" s="2717"/>
      <c r="J22" s="1415"/>
      <c r="K22" s="2712">
        <f>G22-E22</f>
        <v>0</v>
      </c>
      <c r="L22" s="1295"/>
      <c r="M22" s="1297">
        <f>'נספח 1 לטופס 2'!N25</f>
        <v>0</v>
      </c>
      <c r="N22" s="1318"/>
      <c r="O22" s="2718"/>
      <c r="P22" s="1346"/>
      <c r="Q22" s="1281"/>
    </row>
    <row r="23" spans="1:17" ht="15" customHeight="1">
      <c r="A23" s="1280"/>
      <c r="B23" s="1288"/>
      <c r="C23" s="1292" t="s">
        <v>49</v>
      </c>
      <c r="D23" s="1289"/>
      <c r="E23" s="2716">
        <f>E21+E22</f>
        <v>836225</v>
      </c>
      <c r="F23" s="1295"/>
      <c r="G23" s="2716">
        <f>G21+G22</f>
        <v>853785</v>
      </c>
      <c r="H23" s="1417"/>
      <c r="I23" s="2713"/>
      <c r="J23" s="1415"/>
      <c r="K23" s="2716">
        <f>K21+K22</f>
        <v>17560</v>
      </c>
      <c r="L23" s="1295"/>
      <c r="M23" s="2716">
        <f>M21+M22</f>
        <v>795695</v>
      </c>
      <c r="N23" s="1318"/>
      <c r="O23" s="2714"/>
      <c r="P23" s="1346"/>
      <c r="Q23" s="1281"/>
    </row>
    <row r="24" spans="1:17" ht="15" customHeight="1">
      <c r="A24" s="1280"/>
      <c r="B24" s="1288"/>
      <c r="C24" s="1292"/>
      <c r="D24" s="1289"/>
      <c r="E24" s="1300"/>
      <c r="F24" s="1295"/>
      <c r="G24" s="1300"/>
      <c r="H24" s="1417"/>
      <c r="I24" s="2713"/>
      <c r="J24" s="1415"/>
      <c r="K24" s="1300"/>
      <c r="L24" s="1295"/>
      <c r="M24" s="1300"/>
      <c r="N24" s="1318"/>
      <c r="O24" s="2714"/>
      <c r="P24" s="1346"/>
      <c r="Q24" s="1281"/>
    </row>
    <row r="25" spans="1:17" ht="10.5" customHeight="1">
      <c r="A25" s="1280"/>
      <c r="B25" s="1288"/>
      <c r="C25" s="2707" t="s">
        <v>529</v>
      </c>
      <c r="D25" s="1415"/>
      <c r="E25" s="1415"/>
      <c r="F25" s="1415"/>
      <c r="G25" s="1315"/>
      <c r="H25" s="1416"/>
      <c r="I25" s="1415"/>
      <c r="J25" s="1415"/>
      <c r="K25" s="1415"/>
      <c r="L25" s="1415"/>
      <c r="M25" s="1416" t="s">
        <v>360</v>
      </c>
      <c r="N25" s="1318"/>
      <c r="O25" s="1319"/>
      <c r="P25" s="1346"/>
      <c r="Q25" s="1281"/>
    </row>
    <row r="26" spans="1:17" ht="15" customHeight="1">
      <c r="A26" s="1280"/>
      <c r="B26" s="2635"/>
      <c r="C26" s="1292" t="s">
        <v>1306</v>
      </c>
      <c r="D26" s="1415"/>
      <c r="E26" s="1297">
        <f>'נתונים לנספח 4 לטופס 2 חלק א'!E30-'נתונים לנספח 4 לטופס 2 חלק א'!E8-'נתונים לנספח 4 לטופס 2 חלק א'!E11</f>
        <v>159426</v>
      </c>
      <c r="F26" s="1295"/>
      <c r="G26" s="1297">
        <f>'נתונים לנספח 4 לטופס 2 חלק א'!F30-'נתונים לנספח 4 לטופס 2 חלק א'!F8-'נתונים לנספח 4 לטופס 2 חלק א'!F11</f>
        <v>154298</v>
      </c>
      <c r="H26" s="1417"/>
      <c r="I26" s="3011">
        <f>IF($G$40&lt;&gt;0,G26/$G$40,0)</f>
        <v>0.18450783720051467</v>
      </c>
      <c r="J26" s="1415"/>
      <c r="K26" s="1297">
        <f t="shared" ref="K26:K38" si="3">E26-G26</f>
        <v>5128</v>
      </c>
      <c r="L26" s="1295"/>
      <c r="M26" s="1297">
        <f>'נתונים לנספח 4 לטופס 2 חלק א'!K30-'נתונים לנספח 4 לטופס 2 חלק א'!K8-'נתונים לנספח 4 לטופס 2 חלק א'!K11</f>
        <v>145674</v>
      </c>
      <c r="N26" s="1318"/>
      <c r="O26" s="3013">
        <f>IF($M$40 &lt;&gt; 0,M26/$M$40,0)</f>
        <v>0.18555944630489915</v>
      </c>
      <c r="P26" s="1346"/>
      <c r="Q26" s="1281"/>
    </row>
    <row r="27" spans="1:17" ht="15" customHeight="1">
      <c r="A27" s="1280"/>
      <c r="B27" s="2635"/>
      <c r="C27" s="1292" t="s">
        <v>1124</v>
      </c>
      <c r="D27" s="1415"/>
      <c r="E27" s="1297">
        <f>'טופס 2'!N55-(E26+E28+E31+E32+E33+E34+E35+E36+E37+E38+E41)</f>
        <v>210470</v>
      </c>
      <c r="F27" s="1295"/>
      <c r="G27" s="1297">
        <f>'טופס 2'!P55-(G26+G28+G31+G32+G33+G34+G35+G36+G37+G38+G41)</f>
        <v>208869</v>
      </c>
      <c r="H27" s="1417"/>
      <c r="I27" s="3011">
        <f>IF($G$40&lt;&gt;0,G27/$G$40,0)</f>
        <v>0.24976323379586449</v>
      </c>
      <c r="J27" s="1415"/>
      <c r="K27" s="1297">
        <f t="shared" si="3"/>
        <v>1601</v>
      </c>
      <c r="L27" s="1295"/>
      <c r="M27" s="1297">
        <f>'טופס 2'!R55-(M26+M28+M31+M32+M33+M34+M35+M36+M37+M38+M41)</f>
        <v>223686</v>
      </c>
      <c r="N27" s="1318"/>
      <c r="O27" s="3013">
        <f>IF($M$40 &lt;&gt; 0,M27/$M$40,0)</f>
        <v>0.28493108108624515</v>
      </c>
      <c r="P27" s="1346"/>
      <c r="Q27" s="1281"/>
    </row>
    <row r="28" spans="1:17" ht="15" customHeight="1">
      <c r="A28" s="1280"/>
      <c r="B28" s="2635"/>
      <c r="C28" s="1292" t="s">
        <v>50</v>
      </c>
      <c r="D28" s="1415"/>
      <c r="E28" s="1297">
        <f>'נתונים לנספח 1 לטופס 2'!C78</f>
        <v>0</v>
      </c>
      <c r="F28" s="1295"/>
      <c r="G28" s="1297">
        <f>'נתונים לנספח 1 לטופס 2'!D78</f>
        <v>0</v>
      </c>
      <c r="H28" s="1417"/>
      <c r="I28" s="3011">
        <f>IF($G$40&lt;&gt;0,G28/$G$40,0)</f>
        <v>0</v>
      </c>
      <c r="J28" s="1415"/>
      <c r="K28" s="1297">
        <f t="shared" si="3"/>
        <v>0</v>
      </c>
      <c r="L28" s="1295"/>
      <c r="M28" s="1297">
        <f>'נתונים לנספח 1 לטופס 2'!E78</f>
        <v>0</v>
      </c>
      <c r="N28" s="1318"/>
      <c r="O28" s="3013">
        <f>IF($M$40 &lt;&gt; 0,M28/$M$40,0)</f>
        <v>0</v>
      </c>
      <c r="P28" s="1346"/>
      <c r="Q28" s="1281"/>
    </row>
    <row r="29" spans="1:17" ht="15" hidden="1" customHeight="1">
      <c r="A29" s="1280"/>
      <c r="B29" s="2635"/>
      <c r="C29" s="1292" t="s">
        <v>1308</v>
      </c>
      <c r="D29" s="1415"/>
      <c r="E29" s="1293"/>
      <c r="F29" s="1295"/>
      <c r="G29" s="1293"/>
      <c r="H29" s="1417"/>
      <c r="I29" s="3011">
        <f>IF($G$40&lt;&gt;0,ROUND(G29/$G$40,4),0)</f>
        <v>0</v>
      </c>
      <c r="J29" s="1415"/>
      <c r="K29" s="1297">
        <f t="shared" si="3"/>
        <v>0</v>
      </c>
      <c r="L29" s="1295"/>
      <c r="M29" s="1293"/>
      <c r="N29" s="1318"/>
      <c r="O29" s="3013">
        <f>IF($M$40 &lt;&gt; 0,ROUND(M29/$M$40,4),0)</f>
        <v>0</v>
      </c>
      <c r="P29" s="1346"/>
      <c r="Q29" s="1281"/>
    </row>
    <row r="30" spans="1:17" ht="15" hidden="1" customHeight="1">
      <c r="A30" s="1280"/>
      <c r="B30" s="2635"/>
      <c r="C30" s="1292" t="s">
        <v>917</v>
      </c>
      <c r="D30" s="1415"/>
      <c r="E30" s="1293"/>
      <c r="F30" s="1295"/>
      <c r="G30" s="1293"/>
      <c r="H30" s="1417"/>
      <c r="I30" s="3011">
        <f>IF($G$40&lt;&gt;0,ROUND(G30/$G$40,4),0)</f>
        <v>0</v>
      </c>
      <c r="J30" s="1415"/>
      <c r="K30" s="1297">
        <f t="shared" si="3"/>
        <v>0</v>
      </c>
      <c r="L30" s="1295"/>
      <c r="M30" s="1293"/>
      <c r="N30" s="1318"/>
      <c r="O30" s="3013">
        <f>IF($M$40 &lt;&gt; 0,ROUND(M30/$M$40,4),0)</f>
        <v>0</v>
      </c>
      <c r="P30" s="1346"/>
      <c r="Q30" s="1281"/>
    </row>
    <row r="31" spans="1:17" ht="15" customHeight="1">
      <c r="A31" s="1280"/>
      <c r="B31" s="2635"/>
      <c r="C31" s="1292" t="s">
        <v>1125</v>
      </c>
      <c r="D31" s="1415"/>
      <c r="E31" s="1297">
        <f>'נתונים לנספח 4 לטופס 2 חלק א'!E8</f>
        <v>154130</v>
      </c>
      <c r="F31" s="1295"/>
      <c r="G31" s="1297">
        <f>'נתונים לנספח 4 לטופס 2 חלק א'!F8</f>
        <v>147277</v>
      </c>
      <c r="H31" s="1417"/>
      <c r="I31" s="3011">
        <f t="shared" ref="I31:I38" si="4">IF($G$40&lt;&gt;0,G31/$G$40,0)</f>
        <v>0.17611220326498203</v>
      </c>
      <c r="J31" s="1415"/>
      <c r="K31" s="1297">
        <f t="shared" si="3"/>
        <v>6853</v>
      </c>
      <c r="L31" s="1295"/>
      <c r="M31" s="1297">
        <f>'נתונים לנספח 4 לטופס 2 חלק א'!K8</f>
        <v>139341</v>
      </c>
      <c r="N31" s="1318"/>
      <c r="O31" s="3013">
        <f t="shared" ref="O31:O38" si="5">IF($M$40 &lt;&gt; 0,M31/$M$40,0)</f>
        <v>0.17749247503034826</v>
      </c>
      <c r="P31" s="1346"/>
      <c r="Q31" s="1281"/>
    </row>
    <row r="32" spans="1:17" ht="15" customHeight="1">
      <c r="A32" s="1280"/>
      <c r="B32" s="2635"/>
      <c r="C32" s="1292" t="s">
        <v>1126</v>
      </c>
      <c r="D32" s="1415"/>
      <c r="E32" s="1297">
        <f>'טופס 2'!N33-'נספח 3 לטופס 2'!E31</f>
        <v>115202</v>
      </c>
      <c r="F32" s="1295"/>
      <c r="G32" s="1297">
        <f>'טופס 2'!P33-G31</f>
        <v>112702</v>
      </c>
      <c r="H32" s="1417"/>
      <c r="I32" s="3011">
        <f t="shared" si="4"/>
        <v>0.13476780170949981</v>
      </c>
      <c r="J32" s="1415"/>
      <c r="K32" s="1297">
        <f t="shared" si="3"/>
        <v>2500</v>
      </c>
      <c r="L32" s="1295"/>
      <c r="M32" s="1297">
        <f>'טופס 2'!R33-M31</f>
        <v>106787</v>
      </c>
      <c r="N32" s="1318"/>
      <c r="O32" s="3013">
        <f t="shared" si="5"/>
        <v>0.13602521103670709</v>
      </c>
      <c r="P32" s="1280"/>
      <c r="Q32" s="1281"/>
    </row>
    <row r="33" spans="1:17" ht="15" customHeight="1">
      <c r="A33" s="1280"/>
      <c r="B33" s="2635"/>
      <c r="C33" s="1292" t="s">
        <v>1128</v>
      </c>
      <c r="D33" s="1415"/>
      <c r="E33" s="1297">
        <f>'נתונים לנספח 4 לטופס 2 חלק א'!E11</f>
        <v>19149</v>
      </c>
      <c r="F33" s="1295"/>
      <c r="G33" s="1297">
        <f>'נתונים לנספח 4 לטופס 2 חלק א'!F11</f>
        <v>18209</v>
      </c>
      <c r="H33" s="1417"/>
      <c r="I33" s="3011">
        <f t="shared" si="4"/>
        <v>2.1774120258099078E-2</v>
      </c>
      <c r="J33" s="1415"/>
      <c r="K33" s="1297">
        <f t="shared" si="3"/>
        <v>940</v>
      </c>
      <c r="L33" s="1295"/>
      <c r="M33" s="1297">
        <f>'נתונים לנספח 4 לטופס 2 חלק א'!K11</f>
        <v>16804</v>
      </c>
      <c r="N33" s="1318"/>
      <c r="O33" s="3013">
        <f t="shared" si="5"/>
        <v>2.1404924253521737E-2</v>
      </c>
      <c r="P33" s="1346"/>
      <c r="Q33" s="1281"/>
    </row>
    <row r="34" spans="1:17" ht="15" customHeight="1">
      <c r="A34" s="1280"/>
      <c r="B34" s="2635"/>
      <c r="C34" s="1292" t="s">
        <v>1129</v>
      </c>
      <c r="D34" s="1415"/>
      <c r="E34" s="1297">
        <f>'טופס 2'!N36-E33</f>
        <v>72314</v>
      </c>
      <c r="F34" s="1295"/>
      <c r="G34" s="1297">
        <f>'טופס 2'!P36-G33</f>
        <v>69270</v>
      </c>
      <c r="H34" s="1417"/>
      <c r="I34" s="3011">
        <f t="shared" si="4"/>
        <v>8.2832297780137468E-2</v>
      </c>
      <c r="J34" s="1415"/>
      <c r="K34" s="1297">
        <f t="shared" si="3"/>
        <v>3044</v>
      </c>
      <c r="L34" s="1295"/>
      <c r="M34" s="1297">
        <f>'טופס 2'!R36-M33</f>
        <v>65141</v>
      </c>
      <c r="N34" s="1318"/>
      <c r="O34" s="3013">
        <f t="shared" si="5"/>
        <v>8.2976563365785488E-2</v>
      </c>
      <c r="P34" s="1346"/>
      <c r="Q34" s="1281"/>
    </row>
    <row r="35" spans="1:17" ht="15" customHeight="1">
      <c r="A35" s="1280"/>
      <c r="B35" s="2635"/>
      <c r="C35" s="1292" t="s">
        <v>921</v>
      </c>
      <c r="D35" s="1415"/>
      <c r="E35" s="1297">
        <f>'נתונים לנספח 1 לטופס 2'!C72</f>
        <v>36600</v>
      </c>
      <c r="F35" s="1295"/>
      <c r="G35" s="1297">
        <f>'נתונים לנספח 1 לטופס 2'!D72</f>
        <v>34633</v>
      </c>
      <c r="H35" s="1417"/>
      <c r="I35" s="3011">
        <f t="shared" si="4"/>
        <v>4.141375731224918E-2</v>
      </c>
      <c r="J35" s="1415"/>
      <c r="K35" s="1297">
        <f t="shared" si="3"/>
        <v>1967</v>
      </c>
      <c r="L35" s="1295"/>
      <c r="M35" s="1297">
        <f>'נתונים לנספח 1 לטופס 2'!E72</f>
        <v>40282</v>
      </c>
      <c r="N35" s="1318"/>
      <c r="O35" s="3013">
        <f t="shared" si="5"/>
        <v>5.1311185359459804E-2</v>
      </c>
      <c r="P35" s="1346"/>
      <c r="Q35" s="1281"/>
    </row>
    <row r="36" spans="1:17" ht="15" customHeight="1">
      <c r="A36" s="1280"/>
      <c r="B36" s="2635"/>
      <c r="C36" s="1327" t="s">
        <v>1086</v>
      </c>
      <c r="D36" s="1415"/>
      <c r="E36" s="1297">
        <f>'טופס 2'!N13</f>
        <v>2910</v>
      </c>
      <c r="F36" s="1295"/>
      <c r="G36" s="1297">
        <f>'טופס 2'!P13</f>
        <v>2630</v>
      </c>
      <c r="H36" s="1417"/>
      <c r="I36" s="3011">
        <f t="shared" si="4"/>
        <v>3.1449248327091316E-3</v>
      </c>
      <c r="J36" s="1415"/>
      <c r="K36" s="1297">
        <f t="shared" si="3"/>
        <v>280</v>
      </c>
      <c r="L36" s="1295"/>
      <c r="M36" s="1297">
        <f>'טופס 2'!R13</f>
        <v>2503</v>
      </c>
      <c r="N36" s="1318"/>
      <c r="O36" s="3013">
        <f t="shared" si="5"/>
        <v>3.1883197694932697E-3</v>
      </c>
      <c r="P36" s="1346"/>
      <c r="Q36" s="1281"/>
    </row>
    <row r="37" spans="1:17" ht="15" customHeight="1">
      <c r="A37" s="1280"/>
      <c r="B37" s="2635"/>
      <c r="C37" s="1327" t="s">
        <v>1307</v>
      </c>
      <c r="D37" s="1415"/>
      <c r="E37" s="2715">
        <v>16524</v>
      </c>
      <c r="F37" s="1295"/>
      <c r="G37" s="2715">
        <v>42620</v>
      </c>
      <c r="H37" s="1417"/>
      <c r="I37" s="3011">
        <f t="shared" si="4"/>
        <v>5.0964523334624784E-2</v>
      </c>
      <c r="J37" s="1415"/>
      <c r="K37" s="1297">
        <f t="shared" si="3"/>
        <v>-26096</v>
      </c>
      <c r="L37" s="1295"/>
      <c r="M37" s="2715"/>
      <c r="N37" s="1318"/>
      <c r="O37" s="3013">
        <f t="shared" si="5"/>
        <v>0</v>
      </c>
      <c r="P37" s="1346"/>
      <c r="Q37" s="1281"/>
    </row>
    <row r="38" spans="1:17" ht="15" customHeight="1">
      <c r="A38" s="1280"/>
      <c r="B38" s="2635"/>
      <c r="C38" s="1327" t="s">
        <v>637</v>
      </c>
      <c r="D38" s="1415"/>
      <c r="E38" s="1297">
        <f>'ביאור 4'!C23</f>
        <v>49500</v>
      </c>
      <c r="F38" s="1295"/>
      <c r="G38" s="1297">
        <f>'ביאור 4'!E23</f>
        <v>45760</v>
      </c>
      <c r="H38" s="1417"/>
      <c r="I38" s="3011">
        <f t="shared" si="4"/>
        <v>5.471930051131934E-2</v>
      </c>
      <c r="J38" s="1415"/>
      <c r="K38" s="1297">
        <f t="shared" si="3"/>
        <v>3740</v>
      </c>
      <c r="L38" s="1295"/>
      <c r="M38" s="1297">
        <f>'ביאור 4'!G23</f>
        <v>44835</v>
      </c>
      <c r="N38" s="1318"/>
      <c r="O38" s="3013">
        <f t="shared" si="5"/>
        <v>5.7110793793540053E-2</v>
      </c>
      <c r="P38" s="1346"/>
      <c r="Q38" s="1281"/>
    </row>
    <row r="39" spans="1:17" ht="3.75" customHeight="1">
      <c r="A39" s="1280"/>
      <c r="B39" s="1288"/>
      <c r="C39" s="1292"/>
      <c r="D39" s="1292"/>
      <c r="E39" s="1295"/>
      <c r="F39" s="1295"/>
      <c r="G39" s="1295"/>
      <c r="H39" s="1425"/>
      <c r="I39" s="1417"/>
      <c r="J39" s="1292"/>
      <c r="K39" s="1295"/>
      <c r="L39" s="1295"/>
      <c r="M39" s="1295"/>
      <c r="N39" s="1292"/>
      <c r="O39" s="1426"/>
      <c r="P39" s="1346"/>
      <c r="Q39" s="1281"/>
    </row>
    <row r="40" spans="1:17" ht="15" customHeight="1">
      <c r="A40" s="1280"/>
      <c r="B40" s="1288"/>
      <c r="C40" s="1292" t="s">
        <v>48</v>
      </c>
      <c r="D40" s="1289"/>
      <c r="E40" s="2716">
        <f>SUM(E26:E38)</f>
        <v>836225</v>
      </c>
      <c r="F40" s="1295"/>
      <c r="G40" s="2716">
        <f>SUM(G26:G38)</f>
        <v>836268</v>
      </c>
      <c r="H40" s="1417"/>
      <c r="I40" s="3012">
        <f>IF(G40&lt;&gt;0,1,0)</f>
        <v>1</v>
      </c>
      <c r="J40" s="1415"/>
      <c r="K40" s="2716">
        <f>SUM(K26:K38)</f>
        <v>-43</v>
      </c>
      <c r="L40" s="1295"/>
      <c r="M40" s="2716">
        <f>SUM(M26:M38)</f>
        <v>785053</v>
      </c>
      <c r="N40" s="1318"/>
      <c r="O40" s="3014">
        <f>IF(M40&lt;&gt;0,1,0)</f>
        <v>1</v>
      </c>
      <c r="P40" s="1346"/>
      <c r="Q40" s="1281"/>
    </row>
    <row r="41" spans="1:17" ht="15" customHeight="1">
      <c r="A41" s="1280"/>
      <c r="B41" s="1288"/>
      <c r="C41" s="1292" t="s">
        <v>51</v>
      </c>
      <c r="D41" s="1289"/>
      <c r="E41" s="1297">
        <f>'ביאור 4'!C22</f>
        <v>0</v>
      </c>
      <c r="F41" s="1295"/>
      <c r="G41" s="1297">
        <f>'ביאור 4'!E22</f>
        <v>0</v>
      </c>
      <c r="H41" s="1417"/>
      <c r="I41" s="2717"/>
      <c r="J41" s="1415"/>
      <c r="K41" s="2712">
        <f>E41-G41</f>
        <v>0</v>
      </c>
      <c r="L41" s="1295"/>
      <c r="M41" s="1297">
        <f>'ביאור 4'!G22</f>
        <v>0</v>
      </c>
      <c r="N41" s="1318"/>
      <c r="O41" s="2718"/>
      <c r="P41" s="1346"/>
      <c r="Q41" s="1281"/>
    </row>
    <row r="42" spans="1:17" ht="15" customHeight="1">
      <c r="A42" s="1280"/>
      <c r="B42" s="1288"/>
      <c r="C42" s="1292" t="s">
        <v>922</v>
      </c>
      <c r="D42" s="1289"/>
      <c r="E42" s="2716">
        <f>E40+E41</f>
        <v>836225</v>
      </c>
      <c r="F42" s="1295"/>
      <c r="G42" s="2716">
        <f>G40+G41</f>
        <v>836268</v>
      </c>
      <c r="H42" s="1417"/>
      <c r="I42" s="2713"/>
      <c r="J42" s="1415"/>
      <c r="K42" s="2716">
        <f>K40+K41</f>
        <v>-43</v>
      </c>
      <c r="L42" s="1295"/>
      <c r="M42" s="2716">
        <f>M40+M41</f>
        <v>785053</v>
      </c>
      <c r="N42" s="1318"/>
      <c r="O42" s="2714"/>
      <c r="P42" s="1346"/>
      <c r="Q42" s="1281"/>
    </row>
    <row r="43" spans="1:17" ht="5.25" customHeight="1">
      <c r="A43" s="1280"/>
      <c r="B43" s="1288"/>
      <c r="C43" s="1292"/>
      <c r="D43" s="1289"/>
      <c r="E43" s="1300"/>
      <c r="F43" s="1295"/>
      <c r="G43" s="1300"/>
      <c r="H43" s="1417"/>
      <c r="I43" s="2713"/>
      <c r="J43" s="1415"/>
      <c r="K43" s="1300"/>
      <c r="L43" s="1295"/>
      <c r="M43" s="1300"/>
      <c r="N43" s="1318"/>
      <c r="O43" s="2714"/>
      <c r="P43" s="1346"/>
      <c r="Q43" s="1281"/>
    </row>
    <row r="44" spans="1:17" ht="13.8" thickBot="1">
      <c r="A44" s="1280"/>
      <c r="B44" s="1288"/>
      <c r="C44" s="2719" t="s">
        <v>931</v>
      </c>
      <c r="D44" s="1289"/>
      <c r="E44" s="1304">
        <f>E23-E42</f>
        <v>0</v>
      </c>
      <c r="F44" s="1295"/>
      <c r="G44" s="1304">
        <f>G23-G42</f>
        <v>17517</v>
      </c>
      <c r="H44" s="1417"/>
      <c r="I44" s="2713"/>
      <c r="J44" s="1415"/>
      <c r="K44" s="1304">
        <f>K23+K42</f>
        <v>17517</v>
      </c>
      <c r="L44" s="1295"/>
      <c r="M44" s="1304">
        <f>M23-M42</f>
        <v>10642</v>
      </c>
      <c r="N44" s="1318"/>
      <c r="O44" s="2714"/>
      <c r="P44" s="1346"/>
      <c r="Q44" s="1281"/>
    </row>
    <row r="45" spans="1:17" ht="13.8" thickTop="1">
      <c r="A45" s="1280"/>
      <c r="B45" s="1288"/>
      <c r="C45" s="1327" t="s">
        <v>312</v>
      </c>
      <c r="D45" s="1289"/>
      <c r="E45" s="1300"/>
      <c r="F45" s="1295"/>
      <c r="G45" s="1327"/>
      <c r="H45" s="1417"/>
      <c r="I45" s="2713"/>
      <c r="J45" s="1415"/>
      <c r="K45" s="1300"/>
      <c r="L45" s="1295"/>
      <c r="M45" s="1300"/>
      <c r="N45" s="1318"/>
      <c r="O45" s="2714"/>
      <c r="P45" s="1346"/>
      <c r="Q45" s="1281"/>
    </row>
    <row r="46" spans="1:17">
      <c r="A46" s="1280"/>
      <c r="B46" s="1288"/>
      <c r="C46" s="1327" t="s">
        <v>638</v>
      </c>
      <c r="D46" s="1289"/>
      <c r="E46" s="1300"/>
      <c r="F46" s="1295"/>
      <c r="G46" s="1327"/>
      <c r="H46" s="1417"/>
      <c r="I46" s="2713"/>
      <c r="J46" s="1415"/>
      <c r="K46" s="1300"/>
      <c r="L46" s="1295"/>
      <c r="M46" s="1300"/>
      <c r="N46" s="1318"/>
      <c r="O46" s="2714"/>
      <c r="P46" s="1346"/>
      <c r="Q46" s="1281"/>
    </row>
    <row r="47" spans="1:17">
      <c r="A47" s="1280"/>
      <c r="B47" s="1288"/>
      <c r="C47" s="1327" t="s">
        <v>350</v>
      </c>
      <c r="D47" s="1289"/>
      <c r="E47" s="1300"/>
      <c r="F47" s="1295"/>
      <c r="G47" s="1300"/>
      <c r="H47" s="1417"/>
      <c r="I47" s="2713"/>
      <c r="J47" s="1415"/>
      <c r="K47" s="1300"/>
      <c r="L47" s="1295"/>
      <c r="M47" s="1300"/>
      <c r="N47" s="1318"/>
      <c r="O47" s="2714"/>
      <c r="P47" s="1346"/>
      <c r="Q47" s="1281"/>
    </row>
    <row r="48" spans="1:17">
      <c r="A48" s="1280"/>
      <c r="B48" s="1307"/>
      <c r="C48" s="1430"/>
      <c r="D48" s="1430"/>
      <c r="E48" s="1430"/>
      <c r="F48" s="1430"/>
      <c r="G48" s="1430"/>
      <c r="H48" s="1430"/>
      <c r="I48" s="1430"/>
      <c r="J48" s="1430"/>
      <c r="K48" s="1430"/>
      <c r="L48" s="1430"/>
      <c r="M48" s="1430"/>
      <c r="N48" s="1430"/>
      <c r="O48" s="1431"/>
      <c r="P48" s="1346"/>
      <c r="Q48" s="1281"/>
    </row>
    <row r="49" spans="1:17" ht="13.8" thickBot="1">
      <c r="A49" s="1280"/>
      <c r="B49" s="1280"/>
      <c r="C49" s="1280"/>
      <c r="D49" s="1432"/>
      <c r="E49" s="1432"/>
      <c r="F49" s="1432"/>
      <c r="G49" s="1312"/>
      <c r="H49" s="1433"/>
      <c r="I49" s="1434"/>
      <c r="J49" s="1435"/>
      <c r="K49" s="1435"/>
      <c r="L49" s="1435"/>
      <c r="M49" s="1435"/>
      <c r="N49" s="1346"/>
      <c r="O49" s="1346"/>
      <c r="P49" s="1346"/>
      <c r="Q49" s="1281"/>
    </row>
    <row r="50" spans="1:17" ht="15.75" customHeight="1" thickTop="1">
      <c r="A50" s="1352"/>
      <c r="B50" s="1352"/>
      <c r="C50" s="1352"/>
      <c r="D50" s="1353"/>
      <c r="E50" s="1353"/>
      <c r="F50" s="1353"/>
      <c r="G50" s="1354"/>
      <c r="H50" s="1356"/>
      <c r="I50" s="1353"/>
      <c r="J50" s="1353"/>
      <c r="K50" s="1353"/>
      <c r="L50" s="1353"/>
      <c r="M50" s="1356" t="s">
        <v>360</v>
      </c>
      <c r="N50" s="1355"/>
      <c r="O50" s="1355"/>
      <c r="P50" s="1355"/>
    </row>
    <row r="51" spans="1:17">
      <c r="D51" s="1357"/>
      <c r="E51" s="1357"/>
      <c r="F51" s="1357"/>
      <c r="H51" s="1360"/>
      <c r="I51" s="1357"/>
      <c r="J51" s="1357"/>
      <c r="K51" s="1357"/>
      <c r="L51" s="1357"/>
      <c r="M51" s="1360"/>
      <c r="N51" s="1359"/>
      <c r="O51" s="1359"/>
      <c r="P51" s="1359"/>
    </row>
    <row r="52" spans="1:17">
      <c r="D52" s="1357"/>
      <c r="E52" s="1357"/>
      <c r="F52" s="1357"/>
      <c r="H52" s="1360"/>
      <c r="I52" s="1357"/>
      <c r="J52" s="1357"/>
      <c r="K52" s="1357"/>
      <c r="L52" s="1357"/>
      <c r="M52" s="1360"/>
      <c r="N52" s="1359"/>
      <c r="O52" s="1359"/>
      <c r="P52" s="1359"/>
    </row>
    <row r="53" spans="1:17">
      <c r="D53" s="1357"/>
      <c r="E53" s="1357"/>
      <c r="F53" s="1357"/>
      <c r="H53" s="1360"/>
      <c r="I53" s="1357"/>
      <c r="J53" s="1357"/>
      <c r="K53" s="1357"/>
      <c r="L53" s="1357"/>
      <c r="M53" s="1360"/>
      <c r="N53" s="1359"/>
      <c r="O53" s="1359"/>
      <c r="P53" s="1359"/>
    </row>
    <row r="54" spans="1:17">
      <c r="D54" s="1357"/>
      <c r="E54" s="1357"/>
      <c r="F54" s="1357"/>
      <c r="H54" s="1360"/>
      <c r="I54" s="1357"/>
      <c r="J54" s="1357"/>
      <c r="K54" s="1357"/>
      <c r="L54" s="1357"/>
      <c r="M54" s="1360"/>
      <c r="N54" s="1359"/>
      <c r="O54" s="1359"/>
      <c r="P54" s="1359"/>
    </row>
    <row r="55" spans="1:17">
      <c r="D55" s="1357"/>
      <c r="E55" s="1357"/>
      <c r="F55" s="1357"/>
      <c r="H55" s="1360"/>
      <c r="I55" s="1357"/>
      <c r="J55" s="1357"/>
      <c r="K55" s="1357"/>
      <c r="L55" s="1357"/>
      <c r="M55" s="1360"/>
      <c r="N55" s="1359"/>
      <c r="O55" s="1359"/>
      <c r="P55" s="1359"/>
    </row>
    <row r="56" spans="1:17">
      <c r="D56" s="1357"/>
      <c r="E56" s="1357"/>
      <c r="F56" s="1357"/>
      <c r="H56" s="1360"/>
      <c r="I56" s="1357"/>
      <c r="J56" s="1357"/>
      <c r="K56" s="1357"/>
      <c r="L56" s="1357"/>
      <c r="M56" s="1360"/>
      <c r="N56" s="1359"/>
      <c r="O56" s="1359"/>
      <c r="P56" s="1359"/>
    </row>
    <row r="57" spans="1:17">
      <c r="D57" s="1357"/>
      <c r="E57" s="1357"/>
      <c r="F57" s="1357"/>
      <c r="H57" s="1360"/>
      <c r="I57" s="1357"/>
      <c r="J57" s="1357"/>
      <c r="K57" s="1357"/>
      <c r="L57" s="1357"/>
      <c r="M57" s="1360"/>
      <c r="N57" s="1359"/>
      <c r="O57" s="1359"/>
      <c r="P57" s="1359"/>
    </row>
    <row r="58" spans="1:17">
      <c r="D58" s="1357"/>
      <c r="E58" s="1357"/>
      <c r="F58" s="1357"/>
      <c r="H58" s="1360"/>
      <c r="I58" s="1357"/>
      <c r="J58" s="1357"/>
      <c r="K58" s="1357"/>
      <c r="L58" s="1357"/>
      <c r="M58" s="1360"/>
      <c r="N58" s="1359"/>
      <c r="O58" s="1359"/>
      <c r="P58" s="1359"/>
    </row>
    <row r="59" spans="1:17">
      <c r="D59" s="1357"/>
      <c r="E59" s="1357"/>
      <c r="F59" s="1357"/>
      <c r="H59" s="1360"/>
      <c r="I59" s="1357"/>
      <c r="J59" s="1357"/>
      <c r="K59" s="1357"/>
      <c r="L59" s="1357"/>
      <c r="M59" s="1360"/>
      <c r="N59" s="1359"/>
      <c r="O59" s="1359"/>
      <c r="P59" s="1359"/>
    </row>
    <row r="60" spans="1:17">
      <c r="D60" s="1357"/>
      <c r="E60" s="1357"/>
      <c r="F60" s="1357"/>
      <c r="H60" s="1360"/>
      <c r="I60" s="1357"/>
      <c r="J60" s="1357"/>
      <c r="K60" s="1357"/>
      <c r="L60" s="1357"/>
      <c r="M60" s="1360"/>
      <c r="N60" s="1359"/>
      <c r="O60" s="1359"/>
      <c r="P60" s="1359"/>
    </row>
    <row r="61" spans="1:17">
      <c r="D61" s="1357"/>
      <c r="E61" s="1357"/>
      <c r="F61" s="1357"/>
      <c r="H61" s="1360"/>
      <c r="I61" s="1357"/>
      <c r="J61" s="1357"/>
      <c r="K61" s="1357"/>
      <c r="L61" s="1357"/>
      <c r="M61" s="1360"/>
      <c r="N61" s="1359"/>
      <c r="O61" s="1359"/>
      <c r="P61" s="1359"/>
    </row>
    <row r="62" spans="1:17">
      <c r="D62" s="1357"/>
      <c r="E62" s="1357"/>
      <c r="F62" s="1357"/>
      <c r="H62" s="1360"/>
      <c r="I62" s="1357"/>
      <c r="J62" s="1357"/>
      <c r="K62" s="1357"/>
      <c r="L62" s="1357"/>
      <c r="M62" s="1360"/>
      <c r="N62" s="1359"/>
      <c r="O62" s="1359"/>
      <c r="P62" s="1359"/>
    </row>
    <row r="63" spans="1:17">
      <c r="D63" s="1357"/>
      <c r="E63" s="1357"/>
      <c r="F63" s="1357"/>
      <c r="H63" s="1360"/>
      <c r="I63" s="1357"/>
      <c r="J63" s="1357"/>
      <c r="K63" s="1357"/>
      <c r="L63" s="1357"/>
      <c r="M63" s="1360"/>
      <c r="N63" s="1359"/>
      <c r="O63" s="1359"/>
      <c r="P63" s="1359"/>
    </row>
    <row r="64" spans="1:17">
      <c r="D64" s="1357"/>
      <c r="E64" s="1357"/>
      <c r="F64" s="1357"/>
      <c r="H64" s="1360"/>
      <c r="I64" s="1357"/>
      <c r="J64" s="1357"/>
      <c r="K64" s="1357"/>
      <c r="L64" s="1357"/>
      <c r="M64" s="1360"/>
      <c r="N64" s="1359"/>
      <c r="O64" s="1359"/>
      <c r="P64" s="1359"/>
    </row>
    <row r="65" spans="4:16">
      <c r="D65" s="1357"/>
      <c r="E65" s="1357"/>
      <c r="F65" s="1357"/>
      <c r="H65" s="1360"/>
      <c r="I65" s="1357"/>
      <c r="J65" s="1357"/>
      <c r="K65" s="1357"/>
      <c r="L65" s="1357"/>
      <c r="M65" s="1360"/>
      <c r="N65" s="1359"/>
      <c r="O65" s="1359"/>
      <c r="P65" s="1359"/>
    </row>
    <row r="66" spans="4:16">
      <c r="D66" s="1357"/>
      <c r="E66" s="1357"/>
      <c r="F66" s="1357"/>
      <c r="H66" s="1360"/>
      <c r="I66" s="1357"/>
      <c r="J66" s="1357"/>
      <c r="K66" s="1357"/>
      <c r="L66" s="1357"/>
      <c r="M66" s="1360"/>
      <c r="N66" s="1359"/>
      <c r="O66" s="1359"/>
      <c r="P66" s="1359"/>
    </row>
    <row r="67" spans="4:16">
      <c r="D67" s="1357"/>
      <c r="E67" s="1357"/>
      <c r="F67" s="1357"/>
      <c r="H67" s="1360"/>
      <c r="I67" s="1357"/>
      <c r="J67" s="1357"/>
      <c r="K67" s="1357"/>
      <c r="L67" s="1357"/>
      <c r="M67" s="1360"/>
      <c r="N67" s="1359"/>
      <c r="O67" s="1359"/>
      <c r="P67" s="1359"/>
    </row>
    <row r="68" spans="4:16">
      <c r="D68" s="1357"/>
      <c r="E68" s="1357"/>
      <c r="F68" s="1357"/>
      <c r="H68" s="1360"/>
      <c r="I68" s="1357"/>
      <c r="J68" s="1357"/>
      <c r="K68" s="1357"/>
      <c r="L68" s="1357"/>
      <c r="M68" s="1360"/>
      <c r="N68" s="1359"/>
      <c r="O68" s="1359"/>
      <c r="P68" s="1359"/>
    </row>
    <row r="69" spans="4:16">
      <c r="D69" s="1357"/>
      <c r="E69" s="1357"/>
      <c r="F69" s="1357"/>
      <c r="H69" s="1360"/>
      <c r="I69" s="1357"/>
      <c r="J69" s="1357"/>
      <c r="K69" s="1357"/>
      <c r="L69" s="1357"/>
      <c r="M69" s="1360"/>
      <c r="N69" s="1359"/>
      <c r="O69" s="1359"/>
      <c r="P69" s="1359"/>
    </row>
    <row r="70" spans="4:16">
      <c r="D70" s="1357"/>
      <c r="E70" s="1357"/>
      <c r="F70" s="1357"/>
      <c r="H70" s="1360"/>
      <c r="I70" s="1357"/>
      <c r="J70" s="1357"/>
      <c r="K70" s="1357"/>
      <c r="L70" s="1357"/>
      <c r="M70" s="1360"/>
      <c r="N70" s="1359"/>
      <c r="O70" s="1359"/>
      <c r="P70" s="1359"/>
    </row>
    <row r="71" spans="4:16">
      <c r="D71" s="1357"/>
      <c r="E71" s="1357"/>
      <c r="F71" s="1357"/>
      <c r="H71" s="1360"/>
      <c r="I71" s="1357"/>
      <c r="J71" s="1357"/>
      <c r="K71" s="1357"/>
      <c r="L71" s="1357"/>
      <c r="M71" s="1360"/>
      <c r="N71" s="1359"/>
      <c r="O71" s="1359"/>
      <c r="P71" s="1359"/>
    </row>
    <row r="72" spans="4:16">
      <c r="D72" s="1357"/>
      <c r="E72" s="1357"/>
      <c r="F72" s="1357"/>
      <c r="H72" s="1360"/>
      <c r="I72" s="1357"/>
      <c r="J72" s="1357"/>
      <c r="K72" s="1357"/>
      <c r="L72" s="1357"/>
      <c r="M72" s="1360"/>
      <c r="N72" s="1359"/>
      <c r="O72" s="1359"/>
      <c r="P72" s="1359"/>
    </row>
    <row r="73" spans="4:16">
      <c r="D73" s="1357"/>
      <c r="E73" s="1357"/>
      <c r="F73" s="1357"/>
      <c r="H73" s="1359"/>
      <c r="I73" s="1357"/>
      <c r="J73" s="1357"/>
      <c r="K73" s="1357"/>
      <c r="L73" s="1357"/>
      <c r="M73" s="1360"/>
      <c r="N73" s="1359"/>
      <c r="O73" s="1359"/>
      <c r="P73" s="1359"/>
    </row>
    <row r="74" spans="4:16">
      <c r="D74" s="1357"/>
      <c r="E74" s="1357"/>
      <c r="F74" s="1357"/>
      <c r="H74" s="1359"/>
      <c r="I74" s="1357"/>
      <c r="J74" s="1357"/>
      <c r="K74" s="1357"/>
      <c r="L74" s="1357"/>
      <c r="M74" s="1360"/>
      <c r="N74" s="1359"/>
      <c r="O74" s="1359"/>
      <c r="P74" s="1359"/>
    </row>
    <row r="75" spans="4:16">
      <c r="D75" s="1357"/>
      <c r="E75" s="1357"/>
      <c r="F75" s="1357"/>
      <c r="H75" s="1359"/>
      <c r="I75" s="1357"/>
      <c r="J75" s="1357"/>
      <c r="K75" s="1357"/>
      <c r="L75" s="1357"/>
      <c r="M75" s="1360"/>
      <c r="N75" s="1359"/>
      <c r="O75" s="1359"/>
      <c r="P75" s="1359"/>
    </row>
    <row r="76" spans="4:16">
      <c r="D76" s="1357"/>
      <c r="E76" s="1357"/>
      <c r="F76" s="1357"/>
      <c r="H76" s="1359"/>
      <c r="I76" s="1357"/>
      <c r="J76" s="1357"/>
      <c r="K76" s="1357"/>
      <c r="L76" s="1357"/>
      <c r="M76" s="1360"/>
      <c r="N76" s="1359"/>
      <c r="O76" s="1359"/>
      <c r="P76" s="1359"/>
    </row>
    <row r="77" spans="4:16">
      <c r="D77" s="1357"/>
      <c r="E77" s="1357"/>
      <c r="F77" s="1357"/>
      <c r="H77" s="1359"/>
      <c r="I77" s="1357"/>
      <c r="J77" s="1357"/>
      <c r="K77" s="1357"/>
      <c r="L77" s="1357"/>
      <c r="M77" s="1360"/>
      <c r="N77" s="1359"/>
      <c r="O77" s="1359"/>
      <c r="P77" s="1359"/>
    </row>
    <row r="78" spans="4:16">
      <c r="D78" s="1357"/>
      <c r="E78" s="1357"/>
      <c r="F78" s="1357"/>
      <c r="H78" s="1359"/>
      <c r="I78" s="1357"/>
      <c r="J78" s="1357"/>
      <c r="K78" s="1357"/>
      <c r="L78" s="1357"/>
      <c r="M78" s="1360"/>
      <c r="N78" s="1359"/>
      <c r="O78" s="1359"/>
      <c r="P78" s="1359"/>
    </row>
    <row r="79" spans="4:16">
      <c r="D79" s="1357"/>
      <c r="E79" s="1357"/>
      <c r="F79" s="1357"/>
      <c r="H79" s="1359"/>
      <c r="I79" s="1357"/>
      <c r="J79" s="1357"/>
      <c r="K79" s="1357"/>
      <c r="L79" s="1357"/>
      <c r="M79" s="1360"/>
      <c r="N79" s="1359"/>
      <c r="O79" s="1359"/>
      <c r="P79" s="1359"/>
    </row>
    <row r="80" spans="4:16">
      <c r="D80" s="1357"/>
      <c r="E80" s="1357"/>
      <c r="F80" s="1357"/>
      <c r="H80" s="1359"/>
      <c r="I80" s="1359"/>
      <c r="J80" s="1359"/>
      <c r="K80" s="1359"/>
      <c r="L80" s="1359"/>
      <c r="M80" s="1360"/>
      <c r="N80" s="1359"/>
      <c r="O80" s="1359"/>
      <c r="P80" s="1359"/>
    </row>
    <row r="81" spans="4:16">
      <c r="D81" s="1357"/>
      <c r="E81" s="1357"/>
      <c r="F81" s="1357"/>
      <c r="H81" s="1359"/>
      <c r="I81" s="1359"/>
      <c r="J81" s="1359"/>
      <c r="K81" s="1359"/>
      <c r="L81" s="1359"/>
      <c r="M81" s="1360"/>
      <c r="N81" s="1359"/>
      <c r="O81" s="1359"/>
      <c r="P81" s="1359"/>
    </row>
    <row r="82" spans="4:16">
      <c r="D82" s="1357"/>
      <c r="E82" s="1357"/>
      <c r="F82" s="1357"/>
      <c r="H82" s="1359"/>
      <c r="I82" s="1359"/>
      <c r="J82" s="1359"/>
      <c r="K82" s="1359"/>
      <c r="L82" s="1359"/>
      <c r="M82" s="1360"/>
      <c r="N82" s="1359"/>
      <c r="O82" s="1359"/>
      <c r="P82" s="1359"/>
    </row>
    <row r="83" spans="4:16">
      <c r="D83" s="1357"/>
      <c r="E83" s="1357"/>
      <c r="F83" s="1357"/>
      <c r="H83" s="1359"/>
      <c r="I83" s="1359"/>
      <c r="J83" s="1359"/>
      <c r="K83" s="1359"/>
      <c r="L83" s="1359"/>
      <c r="M83" s="1360"/>
      <c r="N83" s="1359"/>
      <c r="O83" s="1359"/>
      <c r="P83" s="1359"/>
    </row>
    <row r="84" spans="4:16">
      <c r="D84" s="1357"/>
      <c r="E84" s="1357"/>
      <c r="F84" s="1357"/>
      <c r="H84" s="1359"/>
      <c r="I84" s="1359"/>
      <c r="J84" s="1359"/>
      <c r="K84" s="1359"/>
      <c r="L84" s="1359"/>
      <c r="M84" s="1360"/>
      <c r="N84" s="1359"/>
      <c r="O84" s="1359"/>
      <c r="P84" s="1359"/>
    </row>
    <row r="85" spans="4:16">
      <c r="D85" s="1357"/>
      <c r="E85" s="1357"/>
      <c r="F85" s="1357"/>
      <c r="H85" s="1359"/>
      <c r="I85" s="1359"/>
      <c r="J85" s="1359"/>
      <c r="K85" s="1359"/>
      <c r="L85" s="1359"/>
      <c r="M85" s="1360"/>
      <c r="N85" s="1359"/>
      <c r="O85" s="1359"/>
      <c r="P85" s="1359"/>
    </row>
    <row r="86" spans="4:16">
      <c r="D86" s="1357"/>
      <c r="E86" s="1357"/>
      <c r="F86" s="1357"/>
      <c r="H86" s="1359"/>
      <c r="I86" s="1359"/>
      <c r="J86" s="1359"/>
      <c r="K86" s="1359"/>
      <c r="L86" s="1359"/>
      <c r="M86" s="1360"/>
      <c r="N86" s="1359"/>
      <c r="O86" s="1359"/>
      <c r="P86" s="1359"/>
    </row>
    <row r="87" spans="4:16">
      <c r="D87" s="1357"/>
      <c r="E87" s="1357"/>
      <c r="F87" s="1357"/>
      <c r="H87" s="1359"/>
      <c r="I87" s="1359"/>
      <c r="J87" s="1359"/>
      <c r="K87" s="1359"/>
      <c r="L87" s="1359"/>
      <c r="M87" s="1360"/>
      <c r="N87" s="1359"/>
      <c r="O87" s="1359"/>
      <c r="P87" s="1359"/>
    </row>
    <row r="88" spans="4:16">
      <c r="D88" s="1357"/>
      <c r="E88" s="1357"/>
      <c r="F88" s="1357"/>
      <c r="H88" s="1359"/>
      <c r="I88" s="1359"/>
      <c r="J88" s="1359"/>
      <c r="K88" s="1359"/>
      <c r="L88" s="1359"/>
      <c r="M88" s="1360"/>
      <c r="N88" s="1359"/>
      <c r="O88" s="1359"/>
      <c r="P88" s="1359"/>
    </row>
    <row r="89" spans="4:16">
      <c r="D89" s="1357"/>
      <c r="E89" s="1357"/>
      <c r="F89" s="1357"/>
      <c r="H89" s="1359"/>
      <c r="I89" s="1359"/>
      <c r="J89" s="1359"/>
      <c r="K89" s="1359"/>
      <c r="L89" s="1359"/>
      <c r="M89" s="1360"/>
      <c r="N89" s="1359"/>
      <c r="O89" s="1359"/>
      <c r="P89" s="1359"/>
    </row>
    <row r="90" spans="4:16">
      <c r="D90" s="1357"/>
      <c r="E90" s="1357"/>
      <c r="F90" s="1357"/>
      <c r="H90" s="1359"/>
      <c r="I90" s="1359"/>
      <c r="J90" s="1359"/>
      <c r="K90" s="1359"/>
      <c r="L90" s="1359"/>
      <c r="M90" s="1360"/>
      <c r="N90" s="1359"/>
      <c r="O90" s="1359"/>
      <c r="P90" s="1359"/>
    </row>
    <row r="91" spans="4:16">
      <c r="D91" s="1357"/>
      <c r="E91" s="1357"/>
      <c r="F91" s="1357"/>
      <c r="H91" s="1359"/>
      <c r="I91" s="1359"/>
      <c r="J91" s="1359"/>
      <c r="K91" s="1359"/>
      <c r="L91" s="1359"/>
      <c r="M91" s="1360"/>
      <c r="N91" s="1359"/>
      <c r="O91" s="1359"/>
      <c r="P91" s="1359"/>
    </row>
    <row r="92" spans="4:16">
      <c r="D92" s="1357"/>
      <c r="E92" s="1357"/>
      <c r="F92" s="1357"/>
      <c r="H92" s="1359"/>
      <c r="I92" s="1359"/>
      <c r="J92" s="1359"/>
      <c r="K92" s="1359"/>
      <c r="L92" s="1359"/>
      <c r="M92" s="1360"/>
      <c r="N92" s="1359"/>
      <c r="O92" s="1359"/>
      <c r="P92" s="1359"/>
    </row>
    <row r="93" spans="4:16">
      <c r="D93" s="1357"/>
      <c r="E93" s="1357"/>
      <c r="F93" s="1357"/>
      <c r="H93" s="1359"/>
      <c r="I93" s="1359"/>
      <c r="J93" s="1359"/>
      <c r="K93" s="1359"/>
      <c r="L93" s="1359"/>
      <c r="M93" s="1360"/>
      <c r="N93" s="1359"/>
      <c r="O93" s="1359"/>
      <c r="P93" s="1359"/>
    </row>
    <row r="94" spans="4:16">
      <c r="D94" s="1357"/>
      <c r="E94" s="1357"/>
      <c r="F94" s="1357"/>
      <c r="H94" s="1359"/>
      <c r="I94" s="1359"/>
      <c r="J94" s="1359"/>
      <c r="K94" s="1359"/>
      <c r="L94" s="1359"/>
      <c r="M94" s="1360"/>
      <c r="N94" s="1359"/>
      <c r="O94" s="1359"/>
      <c r="P94" s="1359"/>
    </row>
    <row r="95" spans="4:16">
      <c r="D95" s="1357"/>
      <c r="E95" s="1357"/>
      <c r="F95" s="1357"/>
      <c r="H95" s="1359"/>
      <c r="I95" s="1359"/>
      <c r="J95" s="1359"/>
      <c r="K95" s="1359"/>
      <c r="L95" s="1359"/>
      <c r="M95" s="1360"/>
      <c r="N95" s="1359"/>
      <c r="O95" s="1359"/>
      <c r="P95" s="1359"/>
    </row>
    <row r="96" spans="4:16">
      <c r="D96" s="1357"/>
      <c r="E96" s="1357"/>
      <c r="F96" s="1357"/>
      <c r="H96" s="1359"/>
      <c r="I96" s="1359"/>
      <c r="J96" s="1359"/>
      <c r="K96" s="1359"/>
      <c r="L96" s="1359"/>
      <c r="M96" s="1360"/>
      <c r="N96" s="1359"/>
      <c r="O96" s="1359"/>
      <c r="P96" s="1359"/>
    </row>
    <row r="97" spans="4:16">
      <c r="D97" s="1357"/>
      <c r="E97" s="1357"/>
      <c r="F97" s="1357"/>
      <c r="H97" s="1359"/>
      <c r="I97" s="1359"/>
      <c r="J97" s="1359"/>
      <c r="K97" s="1359"/>
      <c r="L97" s="1359"/>
      <c r="M97" s="1360"/>
      <c r="N97" s="1359"/>
      <c r="O97" s="1359"/>
      <c r="P97" s="1359"/>
    </row>
    <row r="98" spans="4:16">
      <c r="D98" s="1357"/>
      <c r="E98" s="1357"/>
      <c r="F98" s="1357"/>
      <c r="H98" s="1359"/>
      <c r="I98" s="1359"/>
      <c r="J98" s="1359"/>
      <c r="K98" s="1359"/>
      <c r="L98" s="1359"/>
      <c r="M98" s="1360"/>
      <c r="N98" s="1359"/>
      <c r="O98" s="1359"/>
      <c r="P98" s="1359"/>
    </row>
    <row r="99" spans="4:16">
      <c r="D99" s="1357"/>
      <c r="E99" s="1357"/>
      <c r="F99" s="1357"/>
      <c r="H99" s="1359"/>
      <c r="I99" s="1359"/>
      <c r="J99" s="1359"/>
      <c r="K99" s="1359"/>
      <c r="L99" s="1359"/>
      <c r="M99" s="1360"/>
      <c r="N99" s="1359"/>
      <c r="O99" s="1359"/>
      <c r="P99" s="1359"/>
    </row>
    <row r="100" spans="4:16">
      <c r="D100" s="1357"/>
      <c r="E100" s="1357"/>
      <c r="F100" s="1357"/>
      <c r="H100" s="1359"/>
      <c r="I100" s="1359"/>
      <c r="J100" s="1359"/>
      <c r="K100" s="1359"/>
      <c r="L100" s="1359"/>
      <c r="M100" s="1360"/>
      <c r="N100" s="1359"/>
      <c r="O100" s="1359"/>
      <c r="P100" s="1359"/>
    </row>
    <row r="101" spans="4:16">
      <c r="D101" s="1357"/>
      <c r="E101" s="1357"/>
      <c r="F101" s="1357"/>
      <c r="H101" s="1359"/>
      <c r="I101" s="1359"/>
      <c r="J101" s="1359"/>
      <c r="K101" s="1359"/>
      <c r="L101" s="1359"/>
      <c r="M101" s="1360"/>
      <c r="N101" s="1359"/>
      <c r="O101" s="1359"/>
      <c r="P101" s="1359"/>
    </row>
    <row r="102" spans="4:16">
      <c r="D102" s="1357"/>
      <c r="E102" s="1357"/>
      <c r="F102" s="1357"/>
      <c r="H102" s="1359"/>
      <c r="I102" s="1359"/>
      <c r="J102" s="1359"/>
      <c r="K102" s="1359"/>
      <c r="L102" s="1359"/>
      <c r="M102" s="1360"/>
      <c r="N102" s="1359"/>
      <c r="O102" s="1359"/>
      <c r="P102" s="1359"/>
    </row>
    <row r="103" spans="4:16">
      <c r="D103" s="1357"/>
      <c r="E103" s="1357"/>
      <c r="F103" s="1357"/>
      <c r="H103" s="1359"/>
      <c r="I103" s="1359"/>
      <c r="J103" s="1359"/>
      <c r="K103" s="1359"/>
      <c r="L103" s="1359"/>
      <c r="M103" s="1360"/>
      <c r="N103" s="1359"/>
      <c r="O103" s="1359"/>
      <c r="P103" s="1359"/>
    </row>
    <row r="104" spans="4:16">
      <c r="D104" s="1357"/>
      <c r="E104" s="1357"/>
      <c r="F104" s="1357"/>
      <c r="H104" s="1359"/>
      <c r="I104" s="1359"/>
      <c r="J104" s="1359"/>
      <c r="K104" s="1359"/>
      <c r="L104" s="1359"/>
      <c r="M104" s="1360"/>
      <c r="N104" s="1359"/>
      <c r="O104" s="1359"/>
      <c r="P104" s="1359"/>
    </row>
    <row r="105" spans="4:16">
      <c r="D105" s="1357"/>
      <c r="E105" s="1357"/>
      <c r="F105" s="1357"/>
      <c r="H105" s="1359"/>
      <c r="I105" s="1359"/>
      <c r="J105" s="1359"/>
      <c r="K105" s="1359"/>
      <c r="L105" s="1359"/>
      <c r="M105" s="1360"/>
      <c r="N105" s="1359"/>
      <c r="O105" s="1359"/>
      <c r="P105" s="1359"/>
    </row>
    <row r="106" spans="4:16">
      <c r="D106" s="1357"/>
      <c r="E106" s="1357"/>
      <c r="F106" s="1357"/>
      <c r="H106" s="1359"/>
      <c r="I106" s="1359"/>
      <c r="J106" s="1359"/>
      <c r="K106" s="1359"/>
      <c r="L106" s="1359"/>
      <c r="M106" s="1360"/>
      <c r="N106" s="1359"/>
      <c r="O106" s="1359"/>
      <c r="P106" s="1359"/>
    </row>
    <row r="107" spans="4:16">
      <c r="D107" s="1357"/>
      <c r="E107" s="1357"/>
      <c r="F107" s="1357"/>
      <c r="H107" s="1359"/>
      <c r="I107" s="1359"/>
      <c r="J107" s="1359"/>
      <c r="K107" s="1359"/>
      <c r="L107" s="1359"/>
      <c r="M107" s="1360"/>
      <c r="N107" s="1359"/>
      <c r="O107" s="1359"/>
      <c r="P107" s="1359"/>
    </row>
    <row r="108" spans="4:16">
      <c r="D108" s="1357"/>
      <c r="E108" s="1357"/>
      <c r="F108" s="1357"/>
      <c r="H108" s="1359"/>
      <c r="I108" s="1359"/>
      <c r="J108" s="1359"/>
      <c r="K108" s="1359"/>
      <c r="L108" s="1359"/>
      <c r="M108" s="1360"/>
      <c r="N108" s="1359"/>
      <c r="O108" s="1359"/>
      <c r="P108" s="1359"/>
    </row>
    <row r="109" spans="4:16">
      <c r="D109" s="1357"/>
      <c r="E109" s="1357"/>
      <c r="F109" s="1357"/>
      <c r="H109" s="1359"/>
      <c r="I109" s="1359"/>
      <c r="J109" s="1359"/>
      <c r="K109" s="1359"/>
      <c r="L109" s="1359"/>
      <c r="M109" s="1360"/>
      <c r="N109" s="1359"/>
      <c r="O109" s="1359"/>
      <c r="P109" s="1359"/>
    </row>
    <row r="110" spans="4:16">
      <c r="D110" s="1357"/>
      <c r="E110" s="1357"/>
      <c r="F110" s="1357"/>
      <c r="H110" s="1359"/>
      <c r="I110" s="1359"/>
      <c r="J110" s="1359"/>
      <c r="K110" s="1359"/>
      <c r="L110" s="1359"/>
      <c r="M110" s="1360"/>
      <c r="N110" s="1359"/>
      <c r="O110" s="1359"/>
      <c r="P110" s="1359"/>
    </row>
    <row r="111" spans="4:16">
      <c r="D111" s="1357"/>
      <c r="E111" s="1357"/>
      <c r="F111" s="1357"/>
      <c r="H111" s="1359"/>
      <c r="I111" s="1359"/>
      <c r="J111" s="1359"/>
      <c r="K111" s="1359"/>
      <c r="L111" s="1359"/>
      <c r="M111" s="1360"/>
      <c r="N111" s="1359"/>
      <c r="O111" s="1359"/>
      <c r="P111" s="1359"/>
    </row>
    <row r="112" spans="4:16">
      <c r="D112" s="1357"/>
      <c r="E112" s="1357"/>
      <c r="F112" s="1357"/>
      <c r="H112" s="1359"/>
      <c r="I112" s="1359"/>
      <c r="J112" s="1359"/>
      <c r="K112" s="1359"/>
      <c r="L112" s="1359"/>
      <c r="M112" s="1360"/>
      <c r="N112" s="1359"/>
      <c r="O112" s="1359"/>
      <c r="P112" s="1359"/>
    </row>
    <row r="113" spans="4:16">
      <c r="D113" s="1357"/>
      <c r="E113" s="1357"/>
      <c r="F113" s="1357"/>
      <c r="H113" s="1359"/>
      <c r="I113" s="1359"/>
      <c r="J113" s="1359"/>
      <c r="K113" s="1359"/>
      <c r="L113" s="1359"/>
      <c r="M113" s="1360"/>
      <c r="N113" s="1359"/>
      <c r="O113" s="1359"/>
      <c r="P113" s="1359"/>
    </row>
    <row r="114" spans="4:16">
      <c r="D114" s="1357"/>
      <c r="E114" s="1357"/>
      <c r="F114" s="1357"/>
      <c r="H114" s="1359"/>
      <c r="I114" s="1359"/>
      <c r="J114" s="1359"/>
      <c r="K114" s="1359"/>
      <c r="L114" s="1359"/>
      <c r="M114" s="1360"/>
      <c r="N114" s="1359"/>
      <c r="O114" s="1359"/>
      <c r="P114" s="1359"/>
    </row>
    <row r="115" spans="4:16">
      <c r="D115" s="1357"/>
      <c r="E115" s="1357"/>
      <c r="F115" s="1357"/>
      <c r="H115" s="1359"/>
      <c r="I115" s="1359"/>
      <c r="J115" s="1359"/>
      <c r="K115" s="1359"/>
      <c r="L115" s="1359"/>
      <c r="M115" s="1360"/>
      <c r="N115" s="1359"/>
      <c r="O115" s="1359"/>
      <c r="P115" s="1359"/>
    </row>
    <row r="116" spans="4:16">
      <c r="D116" s="1357"/>
      <c r="E116" s="1357"/>
      <c r="F116" s="1357"/>
      <c r="H116" s="1359"/>
      <c r="I116" s="1359"/>
      <c r="J116" s="1359"/>
      <c r="K116" s="1359"/>
      <c r="L116" s="1359"/>
      <c r="M116" s="1360"/>
      <c r="N116" s="1359"/>
      <c r="O116" s="1359"/>
      <c r="P116" s="1359"/>
    </row>
    <row r="117" spans="4:16">
      <c r="D117" s="1357"/>
      <c r="E117" s="1357"/>
      <c r="F117" s="1357"/>
      <c r="H117" s="1359"/>
      <c r="I117" s="1359"/>
      <c r="J117" s="1359"/>
      <c r="K117" s="1359"/>
      <c r="L117" s="1359"/>
      <c r="M117" s="1360"/>
      <c r="N117" s="1359"/>
      <c r="O117" s="1359"/>
      <c r="P117" s="1359"/>
    </row>
    <row r="118" spans="4:16">
      <c r="D118" s="1357"/>
      <c r="E118" s="1357"/>
      <c r="F118" s="1357"/>
      <c r="H118" s="1359"/>
      <c r="I118" s="1359"/>
      <c r="J118" s="1359"/>
      <c r="K118" s="1359"/>
      <c r="L118" s="1359"/>
      <c r="M118" s="1360"/>
      <c r="N118" s="1359"/>
      <c r="O118" s="1359"/>
      <c r="P118" s="1359"/>
    </row>
    <row r="119" spans="4:16">
      <c r="D119" s="1357"/>
      <c r="E119" s="1357"/>
      <c r="F119" s="1357"/>
      <c r="H119" s="1359"/>
      <c r="I119" s="1359"/>
      <c r="J119" s="1359"/>
      <c r="K119" s="1359"/>
      <c r="L119" s="1359"/>
      <c r="M119" s="1360"/>
      <c r="N119" s="1359"/>
      <c r="O119" s="1359"/>
      <c r="P119" s="1359"/>
    </row>
    <row r="120" spans="4:16">
      <c r="D120" s="1357"/>
      <c r="E120" s="1357"/>
      <c r="F120" s="1357"/>
      <c r="H120" s="1359"/>
      <c r="I120" s="1359"/>
      <c r="J120" s="1359"/>
      <c r="K120" s="1359"/>
      <c r="L120" s="1359"/>
      <c r="M120" s="1360"/>
      <c r="N120" s="1359"/>
      <c r="O120" s="1359"/>
      <c r="P120" s="1359"/>
    </row>
    <row r="121" spans="4:16">
      <c r="D121" s="1357"/>
      <c r="E121" s="1357"/>
      <c r="F121" s="1357"/>
      <c r="H121" s="1359"/>
      <c r="I121" s="1359"/>
      <c r="J121" s="1359"/>
      <c r="K121" s="1359"/>
      <c r="L121" s="1359"/>
      <c r="M121" s="1360"/>
      <c r="N121" s="1359"/>
      <c r="O121" s="1359"/>
      <c r="P121" s="1359"/>
    </row>
    <row r="122" spans="4:16">
      <c r="D122" s="1357"/>
      <c r="E122" s="1357"/>
      <c r="F122" s="1357"/>
      <c r="H122" s="1359"/>
      <c r="I122" s="1359"/>
      <c r="J122" s="1359"/>
      <c r="K122" s="1359"/>
      <c r="L122" s="1359"/>
      <c r="M122" s="1360"/>
      <c r="N122" s="1359"/>
      <c r="O122" s="1359"/>
      <c r="P122" s="1359"/>
    </row>
    <row r="123" spans="4:16">
      <c r="D123" s="1357"/>
      <c r="E123" s="1357"/>
      <c r="F123" s="1357"/>
      <c r="H123" s="1359"/>
      <c r="I123" s="1359"/>
      <c r="J123" s="1359"/>
      <c r="K123" s="1359"/>
      <c r="L123" s="1359"/>
      <c r="M123" s="1360"/>
      <c r="N123" s="1359"/>
      <c r="O123" s="1359"/>
      <c r="P123" s="1359"/>
    </row>
    <row r="124" spans="4:16">
      <c r="D124" s="1357"/>
      <c r="E124" s="1357"/>
      <c r="F124" s="1357"/>
      <c r="H124" s="1359"/>
      <c r="I124" s="1359"/>
      <c r="J124" s="1359"/>
      <c r="K124" s="1359"/>
      <c r="L124" s="1359"/>
      <c r="M124" s="1360"/>
      <c r="N124" s="1359"/>
      <c r="O124" s="1359"/>
      <c r="P124" s="1359"/>
    </row>
    <row r="125" spans="4:16">
      <c r="D125" s="1357"/>
      <c r="E125" s="1357"/>
      <c r="F125" s="1357"/>
      <c r="H125" s="1359"/>
      <c r="I125" s="1359"/>
      <c r="J125" s="1359"/>
      <c r="K125" s="1359"/>
      <c r="L125" s="1359"/>
      <c r="M125" s="1360"/>
      <c r="N125" s="1359"/>
      <c r="O125" s="1359"/>
      <c r="P125" s="1359"/>
    </row>
    <row r="126" spans="4:16">
      <c r="D126" s="1357"/>
      <c r="E126" s="1357"/>
      <c r="F126" s="1357"/>
      <c r="H126" s="1359"/>
      <c r="I126" s="1359"/>
      <c r="J126" s="1359"/>
      <c r="K126" s="1359"/>
      <c r="L126" s="1359"/>
      <c r="M126" s="1360"/>
      <c r="N126" s="1359"/>
      <c r="O126" s="1359"/>
      <c r="P126" s="1359"/>
    </row>
    <row r="127" spans="4:16">
      <c r="D127" s="1357"/>
      <c r="E127" s="1357"/>
      <c r="F127" s="1357"/>
      <c r="H127" s="1359"/>
      <c r="I127" s="1359"/>
      <c r="J127" s="1359"/>
      <c r="K127" s="1359"/>
      <c r="L127" s="1359"/>
      <c r="M127" s="1360"/>
      <c r="N127" s="1359"/>
      <c r="O127" s="1359"/>
      <c r="P127" s="1359"/>
    </row>
    <row r="128" spans="4:16">
      <c r="D128" s="1357"/>
      <c r="E128" s="1357"/>
      <c r="F128" s="1357"/>
      <c r="H128" s="1359"/>
      <c r="I128" s="1359"/>
      <c r="J128" s="1359"/>
      <c r="K128" s="1359"/>
      <c r="L128" s="1359"/>
      <c r="M128" s="1360"/>
      <c r="N128" s="1359"/>
      <c r="O128" s="1359"/>
      <c r="P128" s="1359"/>
    </row>
    <row r="129" spans="4:16">
      <c r="D129" s="1357"/>
      <c r="E129" s="1357"/>
      <c r="F129" s="1357"/>
      <c r="H129" s="1359"/>
      <c r="I129" s="1359"/>
      <c r="J129" s="1359"/>
      <c r="K129" s="1359"/>
      <c r="L129" s="1359"/>
      <c r="M129" s="1360"/>
      <c r="N129" s="1359"/>
      <c r="O129" s="1359"/>
      <c r="P129" s="1359"/>
    </row>
    <row r="130" spans="4:16">
      <c r="D130" s="1357"/>
      <c r="E130" s="1357"/>
      <c r="F130" s="1357"/>
      <c r="H130" s="1359"/>
      <c r="I130" s="1359"/>
      <c r="J130" s="1359"/>
      <c r="K130" s="1359"/>
      <c r="L130" s="1359"/>
      <c r="M130" s="1360"/>
      <c r="N130" s="1359"/>
      <c r="O130" s="1359"/>
      <c r="P130" s="1359"/>
    </row>
    <row r="131" spans="4:16">
      <c r="D131" s="1357"/>
      <c r="E131" s="1357"/>
      <c r="F131" s="1357"/>
      <c r="H131" s="1359"/>
      <c r="I131" s="1359"/>
      <c r="J131" s="1359"/>
      <c r="K131" s="1359"/>
      <c r="L131" s="1359"/>
      <c r="M131" s="1360"/>
      <c r="N131" s="1359"/>
      <c r="O131" s="1359"/>
      <c r="P131" s="1359"/>
    </row>
    <row r="132" spans="4:16">
      <c r="D132" s="1357"/>
      <c r="E132" s="1357"/>
      <c r="F132" s="1357"/>
      <c r="H132" s="1359"/>
      <c r="I132" s="1359"/>
      <c r="J132" s="1359"/>
      <c r="K132" s="1359"/>
      <c r="L132" s="1359"/>
      <c r="M132" s="1360"/>
      <c r="N132" s="1359"/>
      <c r="O132" s="1359"/>
      <c r="P132" s="1359"/>
    </row>
    <row r="133" spans="4:16">
      <c r="D133" s="1357"/>
      <c r="E133" s="1357"/>
      <c r="F133" s="1357"/>
      <c r="H133" s="1359"/>
      <c r="I133" s="1359"/>
      <c r="J133" s="1359"/>
      <c r="K133" s="1359"/>
      <c r="L133" s="1359"/>
      <c r="M133" s="1360"/>
      <c r="N133" s="1359"/>
      <c r="O133" s="1359"/>
      <c r="P133" s="1359"/>
    </row>
    <row r="134" spans="4:16">
      <c r="D134" s="1357"/>
      <c r="E134" s="1357"/>
      <c r="F134" s="1357"/>
      <c r="H134" s="1359"/>
      <c r="I134" s="1359"/>
      <c r="J134" s="1359"/>
      <c r="K134" s="1359"/>
      <c r="L134" s="1359"/>
      <c r="M134" s="1360"/>
      <c r="N134" s="1359"/>
      <c r="O134" s="1359"/>
      <c r="P134" s="1359"/>
    </row>
    <row r="135" spans="4:16">
      <c r="D135" s="1357"/>
      <c r="E135" s="1357"/>
      <c r="F135" s="1357"/>
      <c r="H135" s="1359"/>
      <c r="I135" s="1359"/>
      <c r="J135" s="1359"/>
      <c r="K135" s="1359"/>
      <c r="L135" s="1359"/>
      <c r="M135" s="1360"/>
      <c r="N135" s="1359"/>
      <c r="O135" s="1359"/>
      <c r="P135" s="1359"/>
    </row>
    <row r="136" spans="4:16">
      <c r="D136" s="1357"/>
      <c r="E136" s="1357"/>
      <c r="F136" s="1357"/>
      <c r="H136" s="1359"/>
      <c r="I136" s="1359"/>
      <c r="J136" s="1359"/>
      <c r="K136" s="1359"/>
      <c r="L136" s="1359"/>
      <c r="M136" s="1360"/>
      <c r="N136" s="1359"/>
      <c r="O136" s="1359"/>
      <c r="P136" s="1359"/>
    </row>
    <row r="137" spans="4:16">
      <c r="D137" s="1357"/>
      <c r="E137" s="1357"/>
      <c r="F137" s="1357"/>
      <c r="H137" s="1359"/>
      <c r="I137" s="1359"/>
      <c r="J137" s="1359"/>
      <c r="K137" s="1359"/>
      <c r="L137" s="1359"/>
      <c r="M137" s="1360"/>
      <c r="N137" s="1359"/>
      <c r="O137" s="1359"/>
      <c r="P137" s="1359"/>
    </row>
    <row r="138" spans="4:16">
      <c r="D138" s="1357"/>
      <c r="E138" s="1357"/>
      <c r="F138" s="1357"/>
      <c r="H138" s="1359"/>
      <c r="I138" s="1359"/>
      <c r="J138" s="1359"/>
      <c r="K138" s="1359"/>
      <c r="L138" s="1359"/>
      <c r="M138" s="1360"/>
      <c r="N138" s="1359"/>
      <c r="O138" s="1359"/>
      <c r="P138" s="1359"/>
    </row>
    <row r="139" spans="4:16">
      <c r="D139" s="1357"/>
      <c r="E139" s="1357"/>
      <c r="F139" s="1357"/>
      <c r="H139" s="1359"/>
      <c r="I139" s="1359"/>
      <c r="J139" s="1359"/>
      <c r="K139" s="1359"/>
      <c r="L139" s="1359"/>
      <c r="M139" s="1360"/>
      <c r="N139" s="1359"/>
      <c r="O139" s="1359"/>
      <c r="P139" s="1359"/>
    </row>
    <row r="140" spans="4:16">
      <c r="D140" s="1357"/>
      <c r="E140" s="1357"/>
      <c r="F140" s="1357"/>
      <c r="H140" s="1359"/>
      <c r="I140" s="1359"/>
      <c r="J140" s="1359"/>
      <c r="K140" s="1359"/>
      <c r="L140" s="1359"/>
      <c r="M140" s="1360"/>
      <c r="N140" s="1359"/>
      <c r="O140" s="1359"/>
      <c r="P140" s="1359"/>
    </row>
    <row r="141" spans="4:16">
      <c r="D141" s="1357"/>
      <c r="E141" s="1357"/>
      <c r="F141" s="1357"/>
      <c r="H141" s="1359"/>
      <c r="I141" s="1359"/>
      <c r="J141" s="1359"/>
      <c r="K141" s="1359"/>
      <c r="L141" s="1359"/>
      <c r="M141" s="1360"/>
      <c r="N141" s="1359"/>
      <c r="O141" s="1359"/>
      <c r="P141" s="1359"/>
    </row>
    <row r="142" spans="4:16">
      <c r="D142" s="1357"/>
      <c r="E142" s="1357"/>
      <c r="F142" s="1357"/>
      <c r="H142" s="1359"/>
      <c r="I142" s="1359"/>
      <c r="J142" s="1359"/>
      <c r="K142" s="1359"/>
      <c r="L142" s="1359"/>
      <c r="M142" s="1360"/>
      <c r="N142" s="1359"/>
      <c r="O142" s="1359"/>
      <c r="P142" s="1359"/>
    </row>
    <row r="143" spans="4:16">
      <c r="D143" s="1357"/>
      <c r="E143" s="1357"/>
      <c r="F143" s="1357"/>
      <c r="H143" s="1359"/>
      <c r="I143" s="1359"/>
      <c r="J143" s="1359"/>
      <c r="K143" s="1359"/>
      <c r="L143" s="1359"/>
      <c r="M143" s="1360"/>
      <c r="N143" s="1359"/>
      <c r="O143" s="1359"/>
      <c r="P143" s="1359"/>
    </row>
    <row r="144" spans="4:16">
      <c r="D144" s="1357"/>
      <c r="E144" s="1357"/>
      <c r="F144" s="1357"/>
      <c r="H144" s="1359"/>
      <c r="I144" s="1359"/>
      <c r="J144" s="1359"/>
      <c r="K144" s="1359"/>
      <c r="L144" s="1359"/>
      <c r="M144" s="1360"/>
      <c r="N144" s="1359"/>
      <c r="O144" s="1359"/>
      <c r="P144" s="1359"/>
    </row>
    <row r="145" spans="4:16">
      <c r="D145" s="1357"/>
      <c r="E145" s="1357"/>
      <c r="F145" s="1357"/>
      <c r="H145" s="1359"/>
      <c r="I145" s="1359"/>
      <c r="J145" s="1359"/>
      <c r="K145" s="1359"/>
      <c r="L145" s="1359"/>
      <c r="M145" s="1360"/>
      <c r="N145" s="1359"/>
      <c r="O145" s="1359"/>
      <c r="P145" s="1359"/>
    </row>
    <row r="146" spans="4:16">
      <c r="D146" s="1357"/>
      <c r="E146" s="1357"/>
      <c r="F146" s="1357"/>
      <c r="H146" s="1359"/>
      <c r="I146" s="1359"/>
      <c r="J146" s="1359"/>
      <c r="K146" s="1359"/>
      <c r="L146" s="1359"/>
      <c r="M146" s="1360"/>
      <c r="N146" s="1359"/>
      <c r="O146" s="1359"/>
      <c r="P146" s="1359"/>
    </row>
    <row r="147" spans="4:16">
      <c r="D147" s="1357"/>
      <c r="E147" s="1357"/>
      <c r="F147" s="1357"/>
      <c r="H147" s="1359"/>
      <c r="I147" s="1359"/>
      <c r="J147" s="1359"/>
      <c r="K147" s="1359"/>
      <c r="L147" s="1359"/>
      <c r="M147" s="1360"/>
      <c r="N147" s="1359"/>
      <c r="O147" s="1359"/>
      <c r="P147" s="1359"/>
    </row>
    <row r="148" spans="4:16">
      <c r="D148" s="1357"/>
      <c r="E148" s="1357"/>
      <c r="F148" s="1357"/>
      <c r="H148" s="1359"/>
      <c r="I148" s="1359"/>
      <c r="J148" s="1359"/>
      <c r="K148" s="1359"/>
      <c r="L148" s="1359"/>
      <c r="M148" s="1360"/>
      <c r="N148" s="1359"/>
      <c r="O148" s="1359"/>
      <c r="P148" s="1359"/>
    </row>
    <row r="149" spans="4:16">
      <c r="D149" s="1357"/>
      <c r="E149" s="1357"/>
      <c r="F149" s="1357"/>
      <c r="H149" s="1359"/>
      <c r="I149" s="1359"/>
      <c r="J149" s="1359"/>
      <c r="K149" s="1359"/>
      <c r="L149" s="1359"/>
      <c r="M149" s="1360"/>
      <c r="N149" s="1359"/>
      <c r="O149" s="1359"/>
      <c r="P149" s="1359"/>
    </row>
    <row r="150" spans="4:16">
      <c r="D150" s="1357"/>
      <c r="E150" s="1357"/>
      <c r="F150" s="1357"/>
      <c r="H150" s="1359"/>
      <c r="I150" s="1359"/>
      <c r="J150" s="1359"/>
      <c r="K150" s="1359"/>
      <c r="L150" s="1359"/>
      <c r="M150" s="1360"/>
      <c r="N150" s="1359"/>
      <c r="O150" s="1359"/>
      <c r="P150" s="1359"/>
    </row>
    <row r="151" spans="4:16">
      <c r="D151" s="1357"/>
      <c r="E151" s="1357"/>
      <c r="F151" s="1357"/>
      <c r="H151" s="1359"/>
      <c r="I151" s="1359"/>
      <c r="J151" s="1359"/>
      <c r="K151" s="1359"/>
      <c r="L151" s="1359"/>
      <c r="M151" s="1360"/>
      <c r="N151" s="1359"/>
      <c r="O151" s="1359"/>
      <c r="P151" s="1359"/>
    </row>
    <row r="152" spans="4:16">
      <c r="D152" s="1357"/>
      <c r="E152" s="1357"/>
      <c r="F152" s="1357"/>
      <c r="H152" s="1359"/>
      <c r="I152" s="1359"/>
      <c r="J152" s="1359"/>
      <c r="K152" s="1359"/>
      <c r="L152" s="1359"/>
      <c r="M152" s="1360"/>
      <c r="N152" s="1359"/>
      <c r="O152" s="1359"/>
      <c r="P152" s="1359"/>
    </row>
    <row r="153" spans="4:16">
      <c r="D153" s="1357"/>
      <c r="E153" s="1357"/>
      <c r="F153" s="1357"/>
      <c r="H153" s="1359"/>
      <c r="I153" s="1359"/>
      <c r="J153" s="1359"/>
      <c r="K153" s="1359"/>
      <c r="L153" s="1359"/>
      <c r="M153" s="1360"/>
      <c r="N153" s="1359"/>
      <c r="O153" s="1359"/>
      <c r="P153" s="1359"/>
    </row>
    <row r="154" spans="4:16">
      <c r="D154" s="1357"/>
      <c r="E154" s="1357"/>
      <c r="F154" s="1357"/>
      <c r="H154" s="1359"/>
      <c r="I154" s="1359"/>
      <c r="J154" s="1359"/>
      <c r="K154" s="1359"/>
      <c r="L154" s="1359"/>
      <c r="M154" s="1360"/>
      <c r="N154" s="1359"/>
      <c r="O154" s="1359"/>
      <c r="P154" s="1359"/>
    </row>
    <row r="155" spans="4:16">
      <c r="D155" s="1357"/>
      <c r="E155" s="1357"/>
      <c r="F155" s="1357"/>
      <c r="H155" s="1359"/>
      <c r="I155" s="1359"/>
      <c r="J155" s="1359"/>
      <c r="K155" s="1359"/>
      <c r="L155" s="1359"/>
      <c r="M155" s="1360"/>
      <c r="N155" s="1359"/>
      <c r="O155" s="1359"/>
      <c r="P155" s="1359"/>
    </row>
    <row r="156" spans="4:16">
      <c r="D156" s="1357"/>
      <c r="E156" s="1357"/>
      <c r="F156" s="1357"/>
      <c r="H156" s="1359"/>
      <c r="I156" s="1359"/>
      <c r="J156" s="1359"/>
      <c r="K156" s="1359"/>
      <c r="L156" s="1359"/>
      <c r="M156" s="1360"/>
      <c r="N156" s="1359"/>
      <c r="O156" s="1359"/>
      <c r="P156" s="1359"/>
    </row>
    <row r="157" spans="4:16">
      <c r="D157" s="1357"/>
      <c r="E157" s="1357"/>
      <c r="F157" s="1357"/>
      <c r="H157" s="1359"/>
      <c r="I157" s="1359"/>
      <c r="J157" s="1359"/>
      <c r="K157" s="1359"/>
      <c r="L157" s="1359"/>
      <c r="M157" s="1360"/>
      <c r="N157" s="1359"/>
      <c r="O157" s="1359"/>
      <c r="P157" s="1359"/>
    </row>
    <row r="158" spans="4:16">
      <c r="D158" s="1357"/>
      <c r="E158" s="1357"/>
      <c r="F158" s="1357"/>
      <c r="H158" s="1359"/>
      <c r="I158" s="1359"/>
      <c r="J158" s="1359"/>
      <c r="K158" s="1359"/>
      <c r="L158" s="1359"/>
      <c r="M158" s="1360"/>
      <c r="N158" s="1359"/>
      <c r="O158" s="1359"/>
      <c r="P158" s="1359"/>
    </row>
    <row r="159" spans="4:16">
      <c r="D159" s="1357"/>
      <c r="E159" s="1357"/>
      <c r="F159" s="1357"/>
      <c r="H159" s="1359"/>
      <c r="I159" s="1359"/>
      <c r="J159" s="1359"/>
      <c r="K159" s="1359"/>
      <c r="L159" s="1359"/>
      <c r="M159" s="1360"/>
      <c r="N159" s="1359"/>
      <c r="O159" s="1359"/>
      <c r="P159" s="1359"/>
    </row>
    <row r="160" spans="4:16">
      <c r="D160" s="1357"/>
      <c r="E160" s="1357"/>
      <c r="F160" s="1357"/>
      <c r="H160" s="1359"/>
      <c r="I160" s="1359"/>
      <c r="J160" s="1359"/>
      <c r="K160" s="1359"/>
      <c r="L160" s="1359"/>
      <c r="M160" s="1360"/>
      <c r="N160" s="1359"/>
      <c r="O160" s="1359"/>
      <c r="P160" s="1359"/>
    </row>
    <row r="161" spans="4:16">
      <c r="D161" s="1357"/>
      <c r="E161" s="1357"/>
      <c r="F161" s="1357"/>
      <c r="H161" s="1359"/>
      <c r="I161" s="1359"/>
      <c r="J161" s="1359"/>
      <c r="K161" s="1359"/>
      <c r="L161" s="1359"/>
      <c r="M161" s="1360"/>
      <c r="N161" s="1359"/>
      <c r="O161" s="1359"/>
      <c r="P161" s="1359"/>
    </row>
    <row r="162" spans="4:16">
      <c r="D162" s="1357"/>
      <c r="E162" s="1357"/>
      <c r="F162" s="1357"/>
      <c r="H162" s="1359"/>
      <c r="I162" s="1359"/>
      <c r="J162" s="1359"/>
      <c r="K162" s="1359"/>
      <c r="L162" s="1359"/>
      <c r="M162" s="1360"/>
      <c r="N162" s="1359"/>
      <c r="O162" s="1359"/>
      <c r="P162" s="1359"/>
    </row>
    <row r="163" spans="4:16">
      <c r="D163" s="1357"/>
      <c r="E163" s="1357"/>
      <c r="F163" s="1357"/>
      <c r="H163" s="1359"/>
      <c r="I163" s="1359"/>
      <c r="J163" s="1359"/>
      <c r="K163" s="1359"/>
      <c r="L163" s="1359"/>
      <c r="M163" s="1360"/>
      <c r="N163" s="1359"/>
      <c r="O163" s="1359"/>
      <c r="P163" s="1359"/>
    </row>
    <row r="164" spans="4:16">
      <c r="D164" s="1357"/>
      <c r="E164" s="1357"/>
      <c r="F164" s="1357"/>
      <c r="H164" s="1359"/>
      <c r="I164" s="1359"/>
      <c r="J164" s="1359"/>
      <c r="K164" s="1359"/>
      <c r="L164" s="1359"/>
      <c r="M164" s="1360"/>
      <c r="N164" s="1359"/>
      <c r="O164" s="1359"/>
      <c r="P164" s="1359"/>
    </row>
    <row r="165" spans="4:16">
      <c r="D165" s="1357"/>
      <c r="E165" s="1357"/>
      <c r="F165" s="1357"/>
      <c r="H165" s="1359"/>
      <c r="I165" s="1359"/>
      <c r="J165" s="1359"/>
      <c r="K165" s="1359"/>
      <c r="L165" s="1359"/>
      <c r="M165" s="1360"/>
      <c r="N165" s="1359"/>
      <c r="O165" s="1359"/>
      <c r="P165" s="1359"/>
    </row>
    <row r="166" spans="4:16">
      <c r="D166" s="1357"/>
      <c r="E166" s="1357"/>
      <c r="F166" s="1357"/>
      <c r="H166" s="1359"/>
      <c r="I166" s="1359"/>
      <c r="J166" s="1359"/>
      <c r="K166" s="1359"/>
      <c r="L166" s="1359"/>
      <c r="M166" s="1360"/>
      <c r="N166" s="1359"/>
      <c r="O166" s="1359"/>
      <c r="P166" s="1359"/>
    </row>
    <row r="167" spans="4:16">
      <c r="D167" s="1357"/>
      <c r="E167" s="1357"/>
      <c r="F167" s="1357"/>
      <c r="H167" s="1359"/>
      <c r="I167" s="1359"/>
      <c r="J167" s="1359"/>
      <c r="K167" s="1359"/>
      <c r="L167" s="1359"/>
      <c r="M167" s="1360"/>
      <c r="N167" s="1359"/>
      <c r="O167" s="1359"/>
      <c r="P167" s="1359"/>
    </row>
    <row r="168" spans="4:16">
      <c r="D168" s="1357"/>
      <c r="E168" s="1357"/>
      <c r="F168" s="1357"/>
      <c r="H168" s="1359"/>
      <c r="I168" s="1359"/>
      <c r="J168" s="1359"/>
      <c r="K168" s="1359"/>
      <c r="L168" s="1359"/>
      <c r="M168" s="1360"/>
      <c r="N168" s="1359"/>
      <c r="O168" s="1359"/>
      <c r="P168" s="1359"/>
    </row>
    <row r="169" spans="4:16">
      <c r="D169" s="1357"/>
      <c r="E169" s="1357"/>
      <c r="F169" s="1357"/>
      <c r="H169" s="1359"/>
      <c r="I169" s="1359"/>
      <c r="J169" s="1359"/>
      <c r="K169" s="1359"/>
      <c r="L169" s="1359"/>
      <c r="M169" s="1360"/>
      <c r="N169" s="1359"/>
      <c r="O169" s="1359"/>
      <c r="P169" s="1359"/>
    </row>
    <row r="170" spans="4:16">
      <c r="D170" s="1357"/>
      <c r="E170" s="1357"/>
      <c r="F170" s="1357"/>
      <c r="H170" s="1359"/>
      <c r="I170" s="1359"/>
      <c r="J170" s="1359"/>
      <c r="K170" s="1359"/>
      <c r="L170" s="1359"/>
      <c r="M170" s="1360"/>
      <c r="N170" s="1359"/>
      <c r="O170" s="1359"/>
      <c r="P170" s="1359"/>
    </row>
    <row r="171" spans="4:16">
      <c r="D171" s="1357"/>
      <c r="E171" s="1357"/>
      <c r="F171" s="1357"/>
      <c r="H171" s="1359"/>
      <c r="I171" s="1359"/>
      <c r="J171" s="1359"/>
      <c r="K171" s="1359"/>
      <c r="L171" s="1359"/>
      <c r="M171" s="1360"/>
      <c r="N171" s="1359"/>
      <c r="O171" s="1359"/>
      <c r="P171" s="1359"/>
    </row>
    <row r="172" spans="4:16">
      <c r="D172" s="1357"/>
      <c r="E172" s="1357"/>
      <c r="F172" s="1357"/>
      <c r="H172" s="1359"/>
      <c r="I172" s="1359"/>
      <c r="J172" s="1359"/>
      <c r="K172" s="1359"/>
      <c r="L172" s="1359"/>
      <c r="M172" s="1360"/>
      <c r="N172" s="1359"/>
      <c r="O172" s="1359"/>
      <c r="P172" s="1359"/>
    </row>
    <row r="173" spans="4:16">
      <c r="D173" s="1357"/>
      <c r="E173" s="1357"/>
      <c r="F173" s="1357"/>
      <c r="H173" s="1359"/>
      <c r="I173" s="1359"/>
      <c r="J173" s="1359"/>
      <c r="K173" s="1359"/>
      <c r="L173" s="1359"/>
      <c r="M173" s="1360"/>
      <c r="N173" s="1359"/>
      <c r="O173" s="1359"/>
      <c r="P173" s="1359"/>
    </row>
    <row r="174" spans="4:16">
      <c r="D174" s="1357"/>
      <c r="E174" s="1357"/>
      <c r="F174" s="1357"/>
      <c r="H174" s="1359"/>
      <c r="I174" s="1359"/>
      <c r="J174" s="1359"/>
      <c r="K174" s="1359"/>
      <c r="L174" s="1359"/>
      <c r="M174" s="1359"/>
      <c r="N174" s="1359"/>
      <c r="O174" s="1359"/>
      <c r="P174" s="1359"/>
    </row>
    <row r="175" spans="4:16">
      <c r="D175" s="1357"/>
      <c r="E175" s="1357"/>
      <c r="F175" s="1357"/>
      <c r="H175" s="1359"/>
      <c r="I175" s="1359"/>
      <c r="J175" s="1359"/>
      <c r="K175" s="1359"/>
      <c r="L175" s="1359"/>
      <c r="M175" s="1359"/>
      <c r="N175" s="1359"/>
      <c r="O175" s="1359"/>
      <c r="P175" s="1359"/>
    </row>
    <row r="176" spans="4:16">
      <c r="D176" s="1357"/>
      <c r="E176" s="1357"/>
      <c r="F176" s="1357"/>
      <c r="H176" s="1359"/>
      <c r="I176" s="1359"/>
      <c r="J176" s="1359"/>
      <c r="K176" s="1359"/>
      <c r="L176" s="1359"/>
      <c r="M176" s="1359"/>
      <c r="N176" s="1359"/>
      <c r="O176" s="1359"/>
      <c r="P176" s="1359"/>
    </row>
    <row r="177" spans="4:16">
      <c r="D177" s="1357"/>
      <c r="E177" s="1357"/>
      <c r="F177" s="1357"/>
      <c r="H177" s="1359"/>
      <c r="I177" s="1359"/>
      <c r="J177" s="1359"/>
      <c r="K177" s="1359"/>
      <c r="L177" s="1359"/>
      <c r="M177" s="1359"/>
      <c r="N177" s="1359"/>
      <c r="O177" s="1359"/>
      <c r="P177" s="1359"/>
    </row>
    <row r="178" spans="4:16">
      <c r="D178" s="1357"/>
      <c r="E178" s="1357"/>
      <c r="F178" s="1357"/>
      <c r="H178" s="1359"/>
      <c r="I178" s="1359"/>
      <c r="J178" s="1359"/>
      <c r="K178" s="1359"/>
      <c r="L178" s="1359"/>
      <c r="M178" s="1359"/>
      <c r="N178" s="1359"/>
      <c r="O178" s="1359"/>
      <c r="P178" s="1359"/>
    </row>
    <row r="179" spans="4:16">
      <c r="D179" s="1357"/>
      <c r="E179" s="1357"/>
      <c r="F179" s="1357"/>
      <c r="H179" s="1359"/>
      <c r="I179" s="1359"/>
      <c r="J179" s="1359"/>
      <c r="K179" s="1359"/>
      <c r="L179" s="1359"/>
      <c r="M179" s="1359"/>
      <c r="N179" s="1359"/>
      <c r="O179" s="1359"/>
      <c r="P179" s="1359"/>
    </row>
    <row r="180" spans="4:16">
      <c r="D180" s="1357"/>
      <c r="E180" s="1357"/>
      <c r="F180" s="1357"/>
      <c r="H180" s="1359"/>
      <c r="I180" s="1359"/>
      <c r="J180" s="1359"/>
      <c r="K180" s="1359"/>
      <c r="L180" s="1359"/>
      <c r="M180" s="1359"/>
      <c r="N180" s="1359"/>
      <c r="O180" s="1359"/>
      <c r="P180" s="1359"/>
    </row>
    <row r="181" spans="4:16">
      <c r="D181" s="1357"/>
      <c r="E181" s="1357"/>
      <c r="F181" s="1357"/>
    </row>
    <row r="182" spans="4:16">
      <c r="D182" s="1357"/>
      <c r="E182" s="1357"/>
      <c r="F182" s="1357"/>
    </row>
    <row r="183" spans="4:16">
      <c r="D183" s="1357"/>
      <c r="E183" s="1357"/>
      <c r="F183" s="1357"/>
    </row>
    <row r="184" spans="4:16">
      <c r="D184" s="1357"/>
      <c r="E184" s="1357"/>
      <c r="F184" s="1357"/>
    </row>
    <row r="185" spans="4:16">
      <c r="D185" s="1357"/>
      <c r="E185" s="1357"/>
      <c r="F185" s="1357"/>
    </row>
    <row r="186" spans="4:16">
      <c r="D186" s="1357"/>
      <c r="E186" s="1357"/>
      <c r="F186" s="1357"/>
    </row>
    <row r="187" spans="4:16">
      <c r="D187" s="1357"/>
      <c r="E187" s="1357"/>
      <c r="F187" s="1357"/>
    </row>
    <row r="188" spans="4:16">
      <c r="D188" s="1357"/>
      <c r="E188" s="1357"/>
      <c r="F188" s="1357"/>
    </row>
    <row r="189" spans="4:16">
      <c r="D189" s="1357"/>
      <c r="E189" s="1357"/>
      <c r="F189" s="1357"/>
    </row>
    <row r="190" spans="4:16">
      <c r="D190" s="1357"/>
      <c r="E190" s="1357"/>
      <c r="F190" s="1357"/>
    </row>
    <row r="191" spans="4:16">
      <c r="D191" s="1357"/>
      <c r="E191" s="1357"/>
      <c r="F191" s="1357"/>
    </row>
    <row r="192" spans="4:16">
      <c r="D192" s="1357"/>
      <c r="E192" s="1357"/>
      <c r="F192" s="1357"/>
    </row>
    <row r="193" spans="4:6">
      <c r="D193" s="1357"/>
      <c r="E193" s="1357"/>
      <c r="F193" s="1357"/>
    </row>
    <row r="194" spans="4:6">
      <c r="D194" s="1357"/>
      <c r="E194" s="1357"/>
      <c r="F194" s="1357"/>
    </row>
    <row r="195" spans="4:6">
      <c r="D195" s="1357"/>
      <c r="E195" s="1357"/>
      <c r="F195" s="1357"/>
    </row>
    <row r="196" spans="4:6">
      <c r="D196" s="1357"/>
      <c r="E196" s="1357"/>
      <c r="F196" s="1357"/>
    </row>
    <row r="197" spans="4:6">
      <c r="D197" s="1357"/>
      <c r="E197" s="1357"/>
      <c r="F197" s="1357"/>
    </row>
    <row r="198" spans="4:6">
      <c r="D198" s="1357"/>
      <c r="E198" s="1357"/>
      <c r="F198" s="1357"/>
    </row>
    <row r="199" spans="4:6">
      <c r="D199" s="1357"/>
      <c r="E199" s="1357"/>
      <c r="F199" s="1357"/>
    </row>
    <row r="200" spans="4:6">
      <c r="D200" s="1357"/>
      <c r="E200" s="1357"/>
      <c r="F200" s="1357"/>
    </row>
    <row r="201" spans="4:6">
      <c r="D201" s="1357"/>
      <c r="E201" s="1357"/>
      <c r="F201" s="1357"/>
    </row>
    <row r="202" spans="4:6">
      <c r="D202" s="1357"/>
      <c r="E202" s="1357"/>
      <c r="F202" s="1357"/>
    </row>
    <row r="203" spans="4:6">
      <c r="D203" s="1357"/>
      <c r="E203" s="1357"/>
      <c r="F203" s="1357"/>
    </row>
    <row r="204" spans="4:6">
      <c r="D204" s="1357"/>
      <c r="E204" s="1357"/>
      <c r="F204" s="1357"/>
    </row>
    <row r="205" spans="4:6">
      <c r="D205" s="1357"/>
      <c r="E205" s="1357"/>
      <c r="F205" s="1357"/>
    </row>
    <row r="206" spans="4:6">
      <c r="D206" s="1357"/>
      <c r="E206" s="1357"/>
      <c r="F206" s="1357"/>
    </row>
    <row r="207" spans="4:6">
      <c r="D207" s="1357"/>
      <c r="E207" s="1357"/>
      <c r="F207" s="1357"/>
    </row>
    <row r="208" spans="4:6">
      <c r="D208" s="1357"/>
      <c r="E208" s="1357"/>
      <c r="F208" s="1357"/>
    </row>
    <row r="209" spans="2:15">
      <c r="D209" s="1357"/>
      <c r="E209" s="1357"/>
      <c r="F209" s="1357"/>
    </row>
    <row r="210" spans="2:15">
      <c r="D210" s="1357"/>
      <c r="E210" s="1357"/>
      <c r="F210" s="1357"/>
    </row>
    <row r="211" spans="2:15">
      <c r="D211" s="1357"/>
      <c r="E211" s="1357"/>
      <c r="F211" s="1357"/>
    </row>
    <row r="212" spans="2:15">
      <c r="D212" s="1357"/>
      <c r="E212" s="1357"/>
      <c r="F212" s="1357"/>
    </row>
    <row r="222" spans="2:15" ht="15.6">
      <c r="B222" s="3572" t="str">
        <f>E1</f>
        <v>עירית הרצליה</v>
      </c>
      <c r="C222" s="3572"/>
      <c r="D222" s="3572"/>
      <c r="E222" s="3572"/>
      <c r="F222" s="3572"/>
      <c r="G222" s="3572"/>
      <c r="H222" s="3572"/>
      <c r="I222" s="3572"/>
      <c r="J222" s="3572"/>
      <c r="K222" s="3572"/>
      <c r="L222" s="3572"/>
      <c r="M222" s="3572"/>
      <c r="N222" s="3572"/>
      <c r="O222" s="3572"/>
    </row>
    <row r="223" spans="2:15" ht="15.6">
      <c r="B223" s="3571" t="str">
        <f>D2</f>
        <v>דוח ביצוע התקציב הרגיל - ממוין לפי מסגרת משרד הפנים</v>
      </c>
      <c r="C223" s="3572"/>
      <c r="D223" s="3572"/>
      <c r="E223" s="3572"/>
      <c r="F223" s="3572"/>
      <c r="G223" s="3572"/>
      <c r="H223" s="3572"/>
      <c r="I223" s="3572"/>
      <c r="J223" s="3572"/>
      <c r="K223" s="3572"/>
      <c r="L223" s="3572"/>
      <c r="M223" s="3572"/>
      <c r="N223" s="3572"/>
      <c r="O223" s="3572"/>
    </row>
    <row r="224" spans="2:15" ht="15.6">
      <c r="B224" s="3571" t="str">
        <f>D3</f>
        <v xml:space="preserve">לשנה שנסתיימה ביום 31 בדצמבר 2015 (אלפי ש''ח) </v>
      </c>
      <c r="C224" s="3572"/>
      <c r="D224" s="3572"/>
      <c r="E224" s="3572"/>
      <c r="F224" s="3572"/>
      <c r="G224" s="3572"/>
      <c r="H224" s="3572"/>
      <c r="I224" s="3572"/>
      <c r="J224" s="3572"/>
      <c r="K224" s="3572"/>
      <c r="L224" s="3572"/>
      <c r="M224" s="3572"/>
      <c r="N224" s="3572"/>
      <c r="O224" s="3572"/>
    </row>
    <row r="225" spans="2:15" ht="2.25" customHeight="1"/>
    <row r="226" spans="2:15" ht="1.5" customHeight="1"/>
    <row r="227" spans="2:15" ht="1.5" customHeight="1"/>
    <row r="228" spans="2:15" ht="11.25" customHeight="1">
      <c r="B228" s="800">
        <f t="shared" ref="B228:O228" si="6">B5</f>
        <v>0</v>
      </c>
      <c r="C228" s="3112" t="str">
        <f t="shared" si="6"/>
        <v>הסעיף</v>
      </c>
      <c r="D228" s="350">
        <f t="shared" si="6"/>
        <v>0</v>
      </c>
      <c r="E228" s="3112" t="str">
        <f t="shared" si="6"/>
        <v>תקציב</v>
      </c>
      <c r="F228" s="3112">
        <f t="shared" si="6"/>
        <v>0</v>
      </c>
      <c r="G228" s="3113" t="str">
        <f t="shared" si="6"/>
        <v>ביצוע</v>
      </c>
      <c r="H228" s="3112">
        <f t="shared" si="6"/>
        <v>0</v>
      </c>
      <c r="I228" s="3112" t="str">
        <f t="shared" si="6"/>
        <v>% מסה"כ</v>
      </c>
      <c r="J228" s="3112">
        <f t="shared" si="6"/>
        <v>0</v>
      </c>
      <c r="K228" s="3112" t="str">
        <f t="shared" si="6"/>
        <v>עודף (גרעון)</v>
      </c>
      <c r="L228" s="3112">
        <f t="shared" si="6"/>
        <v>0</v>
      </c>
      <c r="M228" s="3112" t="str">
        <f t="shared" si="6"/>
        <v>ביצוע 2014</v>
      </c>
      <c r="N228" s="3112">
        <f t="shared" si="6"/>
        <v>0</v>
      </c>
      <c r="O228" s="3112" t="str">
        <f t="shared" si="6"/>
        <v>% מסה"כ</v>
      </c>
    </row>
    <row r="229" spans="2:15" ht="2.25" hidden="1" customHeight="1">
      <c r="B229" s="1379">
        <f t="shared" ref="B229:O229" si="7">B6</f>
        <v>0</v>
      </c>
      <c r="C229" s="347">
        <f t="shared" si="7"/>
        <v>0</v>
      </c>
      <c r="D229" s="347">
        <f t="shared" si="7"/>
        <v>0</v>
      </c>
      <c r="E229" s="347">
        <f t="shared" si="7"/>
        <v>0</v>
      </c>
      <c r="F229" s="1369">
        <f t="shared" si="7"/>
        <v>0</v>
      </c>
      <c r="G229" s="347">
        <f t="shared" si="7"/>
        <v>0</v>
      </c>
      <c r="H229" s="1369">
        <f t="shared" si="7"/>
        <v>0</v>
      </c>
      <c r="I229" s="347">
        <f t="shared" si="7"/>
        <v>0</v>
      </c>
      <c r="J229" s="1369">
        <f t="shared" si="7"/>
        <v>0</v>
      </c>
      <c r="K229" s="1369">
        <f t="shared" si="7"/>
        <v>0</v>
      </c>
      <c r="L229" s="1369">
        <f t="shared" si="7"/>
        <v>0</v>
      </c>
      <c r="M229" s="1369">
        <f t="shared" si="7"/>
        <v>0</v>
      </c>
      <c r="N229" s="1369">
        <f t="shared" si="7"/>
        <v>0</v>
      </c>
      <c r="O229" s="347">
        <f t="shared" si="7"/>
        <v>0</v>
      </c>
    </row>
    <row r="230" spans="2:15">
      <c r="B230" s="800">
        <f t="shared" ref="B230:O230" si="8">B7</f>
        <v>0</v>
      </c>
      <c r="C230" s="1389" t="str">
        <f t="shared" si="8"/>
        <v>הכנסות</v>
      </c>
      <c r="D230" s="1437">
        <f t="shared" si="8"/>
        <v>0</v>
      </c>
      <c r="E230" s="1437">
        <f t="shared" si="8"/>
        <v>0</v>
      </c>
      <c r="F230" s="1437">
        <f t="shared" si="8"/>
        <v>0</v>
      </c>
      <c r="G230" s="1391">
        <f t="shared" si="8"/>
        <v>0</v>
      </c>
      <c r="H230" s="1396">
        <f t="shared" si="8"/>
        <v>0</v>
      </c>
      <c r="I230" s="1437">
        <f t="shared" si="8"/>
        <v>0</v>
      </c>
      <c r="J230" s="1437">
        <f t="shared" si="8"/>
        <v>0</v>
      </c>
      <c r="K230" s="1437">
        <f t="shared" si="8"/>
        <v>0</v>
      </c>
      <c r="L230" s="1437">
        <f t="shared" si="8"/>
        <v>0</v>
      </c>
      <c r="M230" s="1396">
        <f t="shared" si="8"/>
        <v>0</v>
      </c>
      <c r="N230" s="1390">
        <f t="shared" si="8"/>
        <v>0</v>
      </c>
      <c r="O230" s="1390">
        <f t="shared" si="8"/>
        <v>0</v>
      </c>
    </row>
    <row r="231" spans="2:15">
      <c r="B231" s="1394">
        <f t="shared" ref="B231:O231" si="9">B8</f>
        <v>0</v>
      </c>
      <c r="C231" s="350" t="str">
        <f t="shared" ref="C231:C247" si="10">IF(AND($E8=0,$G8=0,$I8=0,$K8=0,$M8=0,$O8=0),"",$C8)</f>
        <v>ארנונה</v>
      </c>
      <c r="D231" s="1437">
        <f t="shared" si="9"/>
        <v>0</v>
      </c>
      <c r="E231" s="1376">
        <f t="shared" si="9"/>
        <v>463500</v>
      </c>
      <c r="F231" s="1376">
        <f t="shared" si="9"/>
        <v>0</v>
      </c>
      <c r="G231" s="1376">
        <f t="shared" si="9"/>
        <v>492711</v>
      </c>
      <c r="H231" s="1438">
        <f t="shared" si="9"/>
        <v>0</v>
      </c>
      <c r="I231" s="3025">
        <f t="shared" si="9"/>
        <v>0.57709025105852174</v>
      </c>
      <c r="J231" s="1437">
        <f t="shared" si="9"/>
        <v>0</v>
      </c>
      <c r="K231" s="1376">
        <f t="shared" si="9"/>
        <v>29211</v>
      </c>
      <c r="L231" s="1376">
        <f t="shared" si="9"/>
        <v>0</v>
      </c>
      <c r="M231" s="1376">
        <f t="shared" si="9"/>
        <v>453833</v>
      </c>
      <c r="N231" s="1390">
        <f t="shared" si="9"/>
        <v>0</v>
      </c>
      <c r="O231" s="3114">
        <f t="shared" si="9"/>
        <v>0.57036050245382963</v>
      </c>
    </row>
    <row r="232" spans="2:15">
      <c r="B232" s="1394">
        <f t="shared" ref="B232:O232" si="11">B9</f>
        <v>0</v>
      </c>
      <c r="C232" s="350" t="str">
        <f t="shared" si="10"/>
        <v>הנחות בארנונה (*)</v>
      </c>
      <c r="D232" s="1437">
        <f t="shared" si="11"/>
        <v>0</v>
      </c>
      <c r="E232" s="1376">
        <f t="shared" si="11"/>
        <v>51000</v>
      </c>
      <c r="F232" s="1376">
        <f t="shared" si="11"/>
        <v>0</v>
      </c>
      <c r="G232" s="1376">
        <f t="shared" si="11"/>
        <v>47195</v>
      </c>
      <c r="H232" s="1438">
        <f t="shared" si="11"/>
        <v>0</v>
      </c>
      <c r="I232" s="3025">
        <f t="shared" si="11"/>
        <v>5.5277382479195579E-2</v>
      </c>
      <c r="J232" s="1437">
        <f t="shared" si="11"/>
        <v>0</v>
      </c>
      <c r="K232" s="1376">
        <f t="shared" si="11"/>
        <v>-3805</v>
      </c>
      <c r="L232" s="1376">
        <f t="shared" si="11"/>
        <v>0</v>
      </c>
      <c r="M232" s="1376">
        <f t="shared" si="11"/>
        <v>46221</v>
      </c>
      <c r="N232" s="1390">
        <f t="shared" si="11"/>
        <v>0</v>
      </c>
      <c r="O232" s="3114">
        <f t="shared" si="11"/>
        <v>5.8088840573335257E-2</v>
      </c>
    </row>
    <row r="233" spans="2:15">
      <c r="B233" s="1394">
        <f t="shared" ref="B233:O233" si="12">B10</f>
        <v>0</v>
      </c>
      <c r="C233" s="1394" t="str">
        <f t="shared" si="10"/>
        <v>מכירת מים</v>
      </c>
      <c r="D233" s="1437">
        <f t="shared" si="12"/>
        <v>0</v>
      </c>
      <c r="E233" s="1376">
        <f t="shared" si="12"/>
        <v>2610</v>
      </c>
      <c r="F233" s="1376">
        <f t="shared" si="12"/>
        <v>0</v>
      </c>
      <c r="G233" s="1376">
        <f t="shared" si="12"/>
        <v>2879</v>
      </c>
      <c r="H233" s="1438">
        <f t="shared" si="12"/>
        <v>0</v>
      </c>
      <c r="I233" s="3025">
        <f t="shared" si="12"/>
        <v>3.372043313012058E-3</v>
      </c>
      <c r="J233" s="1437">
        <f t="shared" si="12"/>
        <v>0</v>
      </c>
      <c r="K233" s="1376">
        <f t="shared" si="12"/>
        <v>269</v>
      </c>
      <c r="L233" s="1376">
        <f t="shared" si="12"/>
        <v>0</v>
      </c>
      <c r="M233" s="1376">
        <f t="shared" si="12"/>
        <v>2858</v>
      </c>
      <c r="N233" s="1390">
        <f t="shared" si="12"/>
        <v>0</v>
      </c>
      <c r="O233" s="3114">
        <f t="shared" si="12"/>
        <v>3.5918285272623306E-3</v>
      </c>
    </row>
    <row r="234" spans="2:15">
      <c r="B234" s="1394">
        <f t="shared" ref="B234:O234" si="13">B11</f>
        <v>0</v>
      </c>
      <c r="C234" s="1394" t="str">
        <f t="shared" si="10"/>
        <v>יתר עצמיות</v>
      </c>
      <c r="D234" s="1437">
        <f t="shared" si="13"/>
        <v>0</v>
      </c>
      <c r="E234" s="1376">
        <f t="shared" si="13"/>
        <v>87057</v>
      </c>
      <c r="F234" s="1376">
        <f t="shared" si="13"/>
        <v>0</v>
      </c>
      <c r="G234" s="1376">
        <f t="shared" si="13"/>
        <v>86925</v>
      </c>
      <c r="H234" s="1438">
        <f t="shared" si="13"/>
        <v>0</v>
      </c>
      <c r="I234" s="3025">
        <f t="shared" si="13"/>
        <v>0.10181134594775031</v>
      </c>
      <c r="J234" s="1437">
        <f t="shared" si="13"/>
        <v>0</v>
      </c>
      <c r="K234" s="1376">
        <f t="shared" si="13"/>
        <v>-132</v>
      </c>
      <c r="L234" s="1376">
        <f t="shared" si="13"/>
        <v>0</v>
      </c>
      <c r="M234" s="1376">
        <f t="shared" si="13"/>
        <v>77707</v>
      </c>
      <c r="N234" s="1390">
        <f t="shared" si="13"/>
        <v>0</v>
      </c>
      <c r="O234" s="3114">
        <f t="shared" si="13"/>
        <v>9.7659278995092344E-2</v>
      </c>
    </row>
    <row r="235" spans="2:15">
      <c r="B235" s="1394">
        <f t="shared" ref="B235:O235" si="14">B12</f>
        <v>0</v>
      </c>
      <c r="C235" s="1394" t="str">
        <f t="shared" si="10"/>
        <v>משרד החינוך</v>
      </c>
      <c r="D235" s="1437">
        <f t="shared" si="14"/>
        <v>0</v>
      </c>
      <c r="E235" s="1376">
        <f t="shared" si="14"/>
        <v>136736</v>
      </c>
      <c r="F235" s="1376">
        <f t="shared" si="14"/>
        <v>0</v>
      </c>
      <c r="G235" s="1376">
        <f t="shared" si="14"/>
        <v>135863</v>
      </c>
      <c r="H235" s="1438">
        <f t="shared" si="14"/>
        <v>0</v>
      </c>
      <c r="I235" s="3025">
        <f t="shared" si="14"/>
        <v>0.1591302259936635</v>
      </c>
      <c r="J235" s="1437">
        <f t="shared" si="14"/>
        <v>0</v>
      </c>
      <c r="K235" s="1376">
        <f t="shared" si="14"/>
        <v>-873</v>
      </c>
      <c r="L235" s="1376">
        <f t="shared" si="14"/>
        <v>0</v>
      </c>
      <c r="M235" s="1376">
        <f t="shared" si="14"/>
        <v>130249</v>
      </c>
      <c r="N235" s="1390">
        <f t="shared" si="14"/>
        <v>0</v>
      </c>
      <c r="O235" s="3114">
        <f t="shared" si="14"/>
        <v>0.16369211821112362</v>
      </c>
    </row>
    <row r="236" spans="2:15">
      <c r="B236" s="1394">
        <f t="shared" ref="B236:O236" si="15">B13</f>
        <v>0</v>
      </c>
      <c r="C236" s="1394" t="str">
        <f t="shared" si="10"/>
        <v>משרד הרווחה</v>
      </c>
      <c r="D236" s="1437">
        <f t="shared" si="15"/>
        <v>0</v>
      </c>
      <c r="E236" s="1376">
        <f t="shared" si="15"/>
        <v>52388</v>
      </c>
      <c r="F236" s="1376">
        <f t="shared" si="15"/>
        <v>0</v>
      </c>
      <c r="G236" s="1376">
        <f t="shared" si="15"/>
        <v>51067</v>
      </c>
      <c r="H236" s="1438">
        <f t="shared" si="15"/>
        <v>0</v>
      </c>
      <c r="I236" s="3025">
        <f t="shared" si="15"/>
        <v>5.9812482065156922E-2</v>
      </c>
      <c r="J236" s="1437">
        <f t="shared" si="15"/>
        <v>0</v>
      </c>
      <c r="K236" s="1376">
        <f t="shared" si="15"/>
        <v>-1321</v>
      </c>
      <c r="L236" s="1376">
        <f t="shared" si="15"/>
        <v>0</v>
      </c>
      <c r="M236" s="1376">
        <f t="shared" si="15"/>
        <v>47943</v>
      </c>
      <c r="N236" s="1390">
        <f t="shared" si="15"/>
        <v>0</v>
      </c>
      <c r="O236" s="3114">
        <f t="shared" si="15"/>
        <v>6.0252986382973377E-2</v>
      </c>
    </row>
    <row r="237" spans="2:15">
      <c r="B237" s="1394">
        <f t="shared" ref="B237:O237" si="16">B14</f>
        <v>0</v>
      </c>
      <c r="C237" s="1394" t="str">
        <f t="shared" si="10"/>
        <v>משרדים אחרים</v>
      </c>
      <c r="D237" s="1437">
        <f t="shared" si="16"/>
        <v>0</v>
      </c>
      <c r="E237" s="1376">
        <f t="shared" si="16"/>
        <v>3304</v>
      </c>
      <c r="F237" s="1376">
        <f t="shared" si="16"/>
        <v>0</v>
      </c>
      <c r="G237" s="1376">
        <f t="shared" si="16"/>
        <v>2896</v>
      </c>
      <c r="H237" s="1438">
        <f t="shared" si="16"/>
        <v>0</v>
      </c>
      <c r="I237" s="3025">
        <f t="shared" si="16"/>
        <v>3.3919546490041403E-3</v>
      </c>
      <c r="J237" s="1437">
        <f t="shared" si="16"/>
        <v>0</v>
      </c>
      <c r="K237" s="1376">
        <f t="shared" si="16"/>
        <v>-408</v>
      </c>
      <c r="L237" s="1376">
        <f t="shared" si="16"/>
        <v>0</v>
      </c>
      <c r="M237" s="1376">
        <f t="shared" si="16"/>
        <v>3457</v>
      </c>
      <c r="N237" s="1390">
        <f t="shared" si="16"/>
        <v>0</v>
      </c>
      <c r="O237" s="3114">
        <f t="shared" si="16"/>
        <v>4.3446295376997467E-3</v>
      </c>
    </row>
    <row r="238" spans="2:15">
      <c r="B238" s="1394">
        <f t="shared" ref="B238:O238" si="17">B15</f>
        <v>0</v>
      </c>
      <c r="C238" s="1394" t="str">
        <f t="shared" si="10"/>
        <v/>
      </c>
      <c r="D238" s="1437">
        <f t="shared" si="17"/>
        <v>0</v>
      </c>
      <c r="E238" s="1376">
        <f t="shared" si="17"/>
        <v>0</v>
      </c>
      <c r="F238" s="1376">
        <f t="shared" si="17"/>
        <v>0</v>
      </c>
      <c r="G238" s="1376">
        <f t="shared" si="17"/>
        <v>0</v>
      </c>
      <c r="H238" s="1438">
        <f t="shared" si="17"/>
        <v>0</v>
      </c>
      <c r="I238" s="3025">
        <f t="shared" si="17"/>
        <v>0</v>
      </c>
      <c r="J238" s="1437">
        <f t="shared" si="17"/>
        <v>0</v>
      </c>
      <c r="K238" s="1376">
        <f t="shared" si="17"/>
        <v>0</v>
      </c>
      <c r="L238" s="1376">
        <f t="shared" si="17"/>
        <v>0</v>
      </c>
      <c r="M238" s="1376">
        <f t="shared" si="17"/>
        <v>0</v>
      </c>
      <c r="N238" s="1390">
        <f t="shared" si="17"/>
        <v>0</v>
      </c>
      <c r="O238" s="3114">
        <f t="shared" si="17"/>
        <v>0</v>
      </c>
    </row>
    <row r="239" spans="2:15">
      <c r="B239" s="1394">
        <f t="shared" ref="B239:O239" si="18">B16</f>
        <v>0</v>
      </c>
      <c r="C239" s="1394" t="str">
        <f t="shared" si="10"/>
        <v/>
      </c>
      <c r="D239" s="1437">
        <f t="shared" si="18"/>
        <v>0</v>
      </c>
      <c r="E239" s="1376">
        <f t="shared" si="18"/>
        <v>0</v>
      </c>
      <c r="F239" s="1376">
        <f t="shared" si="18"/>
        <v>0</v>
      </c>
      <c r="G239" s="1376">
        <f t="shared" si="18"/>
        <v>0</v>
      </c>
      <c r="H239" s="1438">
        <f t="shared" si="18"/>
        <v>0</v>
      </c>
      <c r="I239" s="3025">
        <f t="shared" si="18"/>
        <v>0</v>
      </c>
      <c r="J239" s="1437">
        <f t="shared" si="18"/>
        <v>0</v>
      </c>
      <c r="K239" s="1376">
        <f t="shared" si="18"/>
        <v>0</v>
      </c>
      <c r="L239" s="1376">
        <f t="shared" si="18"/>
        <v>0</v>
      </c>
      <c r="M239" s="1376">
        <f t="shared" si="18"/>
        <v>0</v>
      </c>
      <c r="N239" s="1390">
        <f t="shared" si="18"/>
        <v>0</v>
      </c>
      <c r="O239" s="3114">
        <f t="shared" si="18"/>
        <v>0</v>
      </c>
    </row>
    <row r="240" spans="2:15">
      <c r="B240" s="1394">
        <f t="shared" ref="B240:O240" si="19">B17</f>
        <v>0</v>
      </c>
      <c r="C240" s="1394" t="str">
        <f t="shared" si="10"/>
        <v/>
      </c>
      <c r="D240" s="800">
        <f t="shared" si="19"/>
        <v>0</v>
      </c>
      <c r="E240" s="1376">
        <f t="shared" si="19"/>
        <v>0</v>
      </c>
      <c r="F240" s="1376">
        <f t="shared" si="19"/>
        <v>0</v>
      </c>
      <c r="G240" s="1376">
        <f t="shared" si="19"/>
        <v>0</v>
      </c>
      <c r="H240" s="1442">
        <f t="shared" si="19"/>
        <v>0</v>
      </c>
      <c r="I240" s="3026">
        <f t="shared" si="19"/>
        <v>0</v>
      </c>
      <c r="J240" s="800">
        <f t="shared" si="19"/>
        <v>0</v>
      </c>
      <c r="K240" s="1376">
        <f t="shared" si="19"/>
        <v>0</v>
      </c>
      <c r="L240" s="1376">
        <f t="shared" si="19"/>
        <v>0</v>
      </c>
      <c r="M240" s="1376">
        <f t="shared" si="19"/>
        <v>0</v>
      </c>
      <c r="N240" s="800">
        <f t="shared" si="19"/>
        <v>0</v>
      </c>
      <c r="O240" s="3115">
        <f t="shared" si="19"/>
        <v>0</v>
      </c>
    </row>
    <row r="241" spans="2:15">
      <c r="B241" s="1394">
        <f t="shared" ref="B241:O241" si="20">B18</f>
        <v>0</v>
      </c>
      <c r="C241" s="1394" t="str">
        <f t="shared" si="10"/>
        <v>מענקים מיועדים</v>
      </c>
      <c r="D241" s="1437">
        <f t="shared" si="20"/>
        <v>0</v>
      </c>
      <c r="E241" s="1376">
        <f t="shared" si="20"/>
        <v>1486</v>
      </c>
      <c r="F241" s="1376">
        <f t="shared" si="20"/>
        <v>0</v>
      </c>
      <c r="G241" s="1376">
        <f t="shared" si="20"/>
        <v>1324</v>
      </c>
      <c r="H241" s="1438">
        <f t="shared" si="20"/>
        <v>0</v>
      </c>
      <c r="I241" s="3025">
        <f t="shared" si="20"/>
        <v>1.550741697265705E-3</v>
      </c>
      <c r="J241" s="1437">
        <f t="shared" si="20"/>
        <v>0</v>
      </c>
      <c r="K241" s="1376">
        <f t="shared" si="20"/>
        <v>-162</v>
      </c>
      <c r="L241" s="1376">
        <f t="shared" si="20"/>
        <v>0</v>
      </c>
      <c r="M241" s="1376">
        <f t="shared" si="20"/>
        <v>327</v>
      </c>
      <c r="N241" s="1390">
        <f t="shared" si="20"/>
        <v>0</v>
      </c>
      <c r="O241" s="3114">
        <f t="shared" si="20"/>
        <v>4.1096148649922393E-4</v>
      </c>
    </row>
    <row r="242" spans="2:15">
      <c r="B242" s="2720">
        <f t="shared" ref="B242:O242" si="21">B19</f>
        <v>0</v>
      </c>
      <c r="C242" s="1394" t="str">
        <f t="shared" si="10"/>
        <v>תקבולים אחרים</v>
      </c>
      <c r="D242" s="2720">
        <f t="shared" si="21"/>
        <v>0</v>
      </c>
      <c r="E242" s="2721">
        <f t="shared" si="21"/>
        <v>38144</v>
      </c>
      <c r="F242" s="2721">
        <f t="shared" si="21"/>
        <v>0</v>
      </c>
      <c r="G242" s="2721">
        <f t="shared" si="21"/>
        <v>32925</v>
      </c>
      <c r="H242" s="2720">
        <f t="shared" si="21"/>
        <v>0</v>
      </c>
      <c r="I242" s="3027">
        <f t="shared" si="21"/>
        <v>3.8563572796430017E-2</v>
      </c>
      <c r="J242" s="2720">
        <f t="shared" si="21"/>
        <v>0</v>
      </c>
      <c r="K242" s="2721">
        <f t="shared" si="21"/>
        <v>-5219</v>
      </c>
      <c r="L242" s="2721">
        <f t="shared" si="21"/>
        <v>0</v>
      </c>
      <c r="M242" s="2721">
        <f t="shared" si="21"/>
        <v>33100</v>
      </c>
      <c r="N242" s="2720">
        <f t="shared" si="21"/>
        <v>0</v>
      </c>
      <c r="O242" s="3027">
        <f t="shared" si="21"/>
        <v>4.1598853832184444E-2</v>
      </c>
    </row>
    <row r="243" spans="2:15">
      <c r="B243" s="2720">
        <f t="shared" ref="B243:O243" si="22">B20</f>
        <v>0</v>
      </c>
      <c r="C243" s="1394" t="str">
        <f t="shared" si="10"/>
        <v/>
      </c>
      <c r="D243" s="2720">
        <f t="shared" si="22"/>
        <v>0</v>
      </c>
      <c r="E243" s="2721">
        <f t="shared" si="22"/>
        <v>0</v>
      </c>
      <c r="F243" s="2721">
        <f t="shared" si="22"/>
        <v>0</v>
      </c>
      <c r="G243" s="2721">
        <f t="shared" si="22"/>
        <v>0</v>
      </c>
      <c r="H243" s="2720">
        <f t="shared" si="22"/>
        <v>0</v>
      </c>
      <c r="I243" s="3027">
        <f t="shared" si="22"/>
        <v>0</v>
      </c>
      <c r="J243" s="2720">
        <f t="shared" si="22"/>
        <v>0</v>
      </c>
      <c r="K243" s="2721">
        <f t="shared" si="22"/>
        <v>0</v>
      </c>
      <c r="L243" s="2721">
        <f t="shared" si="22"/>
        <v>0</v>
      </c>
      <c r="M243" s="2721">
        <f t="shared" si="22"/>
        <v>0</v>
      </c>
      <c r="N243" s="2720">
        <f t="shared" si="22"/>
        <v>0</v>
      </c>
      <c r="O243" s="3027">
        <f t="shared" si="22"/>
        <v>0</v>
      </c>
    </row>
    <row r="244" spans="2:15">
      <c r="B244" s="2720">
        <f t="shared" ref="B244:O244" si="23">B21</f>
        <v>0</v>
      </c>
      <c r="C244" s="1394" t="str">
        <f t="shared" si="10"/>
        <v>סה"כ  ללא כיסוי גרעון מצטבר</v>
      </c>
      <c r="D244" s="2720">
        <f t="shared" si="23"/>
        <v>0</v>
      </c>
      <c r="E244" s="2722">
        <f t="shared" si="23"/>
        <v>836225</v>
      </c>
      <c r="F244" s="2721">
        <f t="shared" si="23"/>
        <v>0</v>
      </c>
      <c r="G244" s="2722">
        <f t="shared" si="23"/>
        <v>853785</v>
      </c>
      <c r="H244" s="2720">
        <f t="shared" si="23"/>
        <v>0</v>
      </c>
      <c r="I244" s="3028">
        <f t="shared" si="23"/>
        <v>1</v>
      </c>
      <c r="J244" s="2720">
        <f t="shared" si="23"/>
        <v>0</v>
      </c>
      <c r="K244" s="2722">
        <f t="shared" si="23"/>
        <v>17560</v>
      </c>
      <c r="L244" s="2721">
        <f t="shared" si="23"/>
        <v>0</v>
      </c>
      <c r="M244" s="2722">
        <f t="shared" si="23"/>
        <v>795695</v>
      </c>
      <c r="N244" s="2720">
        <f t="shared" si="23"/>
        <v>0</v>
      </c>
      <c r="O244" s="3028">
        <f t="shared" si="23"/>
        <v>1</v>
      </c>
    </row>
    <row r="245" spans="2:15">
      <c r="B245" s="2720">
        <f t="shared" ref="B245:O245" si="24">B22</f>
        <v>0</v>
      </c>
      <c r="C245" s="1394" t="str">
        <f t="shared" si="10"/>
        <v/>
      </c>
      <c r="D245" s="2720">
        <f t="shared" si="24"/>
        <v>0</v>
      </c>
      <c r="E245" s="2721">
        <f t="shared" si="24"/>
        <v>0</v>
      </c>
      <c r="F245" s="2721">
        <f t="shared" si="24"/>
        <v>0</v>
      </c>
      <c r="G245" s="2721">
        <f t="shared" si="24"/>
        <v>0</v>
      </c>
      <c r="H245" s="2720">
        <f t="shared" si="24"/>
        <v>0</v>
      </c>
      <c r="I245" s="2720">
        <f t="shared" si="24"/>
        <v>0</v>
      </c>
      <c r="J245" s="2720">
        <f t="shared" si="24"/>
        <v>0</v>
      </c>
      <c r="K245" s="2721">
        <f t="shared" si="24"/>
        <v>0</v>
      </c>
      <c r="L245" s="2721">
        <f t="shared" si="24"/>
        <v>0</v>
      </c>
      <c r="M245" s="2721">
        <f t="shared" si="24"/>
        <v>0</v>
      </c>
      <c r="N245" s="2720">
        <f t="shared" si="24"/>
        <v>0</v>
      </c>
      <c r="O245" s="2720">
        <f t="shared" si="24"/>
        <v>0</v>
      </c>
    </row>
    <row r="246" spans="2:15">
      <c r="B246" s="2720">
        <f t="shared" ref="B246:O246" si="25">B23</f>
        <v>0</v>
      </c>
      <c r="C246" s="1394" t="str">
        <f t="shared" si="10"/>
        <v>סה"כ הכנסות</v>
      </c>
      <c r="D246" s="2720">
        <f t="shared" si="25"/>
        <v>0</v>
      </c>
      <c r="E246" s="2808">
        <f t="shared" si="25"/>
        <v>836225</v>
      </c>
      <c r="F246" s="2721">
        <f t="shared" si="25"/>
        <v>0</v>
      </c>
      <c r="G246" s="2808">
        <f t="shared" si="25"/>
        <v>853785</v>
      </c>
      <c r="H246" s="2720">
        <f t="shared" si="25"/>
        <v>0</v>
      </c>
      <c r="I246" s="2720">
        <f t="shared" si="25"/>
        <v>0</v>
      </c>
      <c r="J246" s="2720">
        <f t="shared" si="25"/>
        <v>0</v>
      </c>
      <c r="K246" s="2808">
        <f t="shared" si="25"/>
        <v>17560</v>
      </c>
      <c r="L246" s="2721">
        <f t="shared" si="25"/>
        <v>0</v>
      </c>
      <c r="M246" s="2808">
        <f t="shared" si="25"/>
        <v>795695</v>
      </c>
      <c r="N246" s="2720">
        <f t="shared" si="25"/>
        <v>0</v>
      </c>
      <c r="O246" s="2720">
        <f t="shared" si="25"/>
        <v>0</v>
      </c>
    </row>
    <row r="247" spans="2:15">
      <c r="B247" s="2720">
        <f t="shared" ref="B247:O247" si="26">B24</f>
        <v>0</v>
      </c>
      <c r="C247" s="1394" t="str">
        <f t="shared" si="10"/>
        <v/>
      </c>
      <c r="D247" s="2720">
        <f t="shared" si="26"/>
        <v>0</v>
      </c>
      <c r="E247" s="2721">
        <f t="shared" si="26"/>
        <v>0</v>
      </c>
      <c r="F247" s="2721">
        <f t="shared" si="26"/>
        <v>0</v>
      </c>
      <c r="G247" s="2721">
        <f t="shared" si="26"/>
        <v>0</v>
      </c>
      <c r="H247" s="2720">
        <f t="shared" si="26"/>
        <v>0</v>
      </c>
      <c r="I247" s="2720">
        <f t="shared" si="26"/>
        <v>0</v>
      </c>
      <c r="J247" s="2720">
        <f t="shared" si="26"/>
        <v>0</v>
      </c>
      <c r="K247" s="2721">
        <f t="shared" si="26"/>
        <v>0</v>
      </c>
      <c r="L247" s="2721">
        <f t="shared" si="26"/>
        <v>0</v>
      </c>
      <c r="M247" s="2721">
        <f t="shared" si="26"/>
        <v>0</v>
      </c>
      <c r="N247" s="2720">
        <f t="shared" si="26"/>
        <v>0</v>
      </c>
      <c r="O247" s="2720">
        <f t="shared" si="26"/>
        <v>0</v>
      </c>
    </row>
    <row r="248" spans="2:15">
      <c r="B248" s="2720">
        <f t="shared" ref="B248:O248" si="27">B25</f>
        <v>0</v>
      </c>
      <c r="C248" s="3112" t="str">
        <f t="shared" si="27"/>
        <v>הוצאות</v>
      </c>
      <c r="D248" s="2720">
        <f t="shared" si="27"/>
        <v>0</v>
      </c>
      <c r="E248" s="2721">
        <f t="shared" si="27"/>
        <v>0</v>
      </c>
      <c r="F248" s="2721">
        <f t="shared" si="27"/>
        <v>0</v>
      </c>
      <c r="G248" s="2721">
        <f t="shared" si="27"/>
        <v>0</v>
      </c>
      <c r="H248" s="2720">
        <f t="shared" si="27"/>
        <v>0</v>
      </c>
      <c r="I248" s="2720">
        <f t="shared" si="27"/>
        <v>0</v>
      </c>
      <c r="J248" s="2720">
        <f t="shared" si="27"/>
        <v>0</v>
      </c>
      <c r="K248" s="2721">
        <f t="shared" si="27"/>
        <v>0</v>
      </c>
      <c r="L248" s="2721">
        <f t="shared" si="27"/>
        <v>0</v>
      </c>
      <c r="M248" s="2721" t="str">
        <f t="shared" si="27"/>
        <v xml:space="preserve"> </v>
      </c>
      <c r="N248" s="2720">
        <f t="shared" si="27"/>
        <v>0</v>
      </c>
      <c r="O248" s="2720">
        <f t="shared" si="27"/>
        <v>0</v>
      </c>
    </row>
    <row r="249" spans="2:15">
      <c r="B249" s="2720">
        <f t="shared" ref="B249:O249" si="28">B26</f>
        <v>0</v>
      </c>
      <c r="C249" s="1394" t="str">
        <f>IF(AND($E26=0,$G26=0,$I26=0,$K26=0,$M26=0,$O26=0),"",$C26)</f>
        <v>משכורות ושכר כללי</v>
      </c>
      <c r="D249" s="2720">
        <f t="shared" si="28"/>
        <v>0</v>
      </c>
      <c r="E249" s="2721">
        <f t="shared" si="28"/>
        <v>159426</v>
      </c>
      <c r="F249" s="2721">
        <f t="shared" si="28"/>
        <v>0</v>
      </c>
      <c r="G249" s="2721">
        <f t="shared" si="28"/>
        <v>154298</v>
      </c>
      <c r="H249" s="2720">
        <f t="shared" si="28"/>
        <v>0</v>
      </c>
      <c r="I249" s="3027">
        <f t="shared" si="28"/>
        <v>0.18450783720051467</v>
      </c>
      <c r="J249" s="2720">
        <f t="shared" si="28"/>
        <v>0</v>
      </c>
      <c r="K249" s="2721">
        <f t="shared" si="28"/>
        <v>5128</v>
      </c>
      <c r="L249" s="2721">
        <f t="shared" si="28"/>
        <v>0</v>
      </c>
      <c r="M249" s="2721">
        <f t="shared" si="28"/>
        <v>145674</v>
      </c>
      <c r="N249" s="2720">
        <f t="shared" si="28"/>
        <v>0</v>
      </c>
      <c r="O249" s="3027">
        <f t="shared" si="28"/>
        <v>0.18555944630489915</v>
      </c>
    </row>
    <row r="250" spans="2:15">
      <c r="B250" s="2720">
        <f t="shared" ref="B250:O250" si="29">B27</f>
        <v>0</v>
      </c>
      <c r="C250" s="1394" t="str">
        <f>IF(AND($E27=0,$G27=0,$I27=0,$K27=0,$M27=0,$O27=0),"",$C27)</f>
        <v>פעולות כלליות</v>
      </c>
      <c r="D250" s="2720">
        <f t="shared" si="29"/>
        <v>0</v>
      </c>
      <c r="E250" s="2721">
        <f t="shared" si="29"/>
        <v>210470</v>
      </c>
      <c r="F250" s="2721">
        <f t="shared" si="29"/>
        <v>0</v>
      </c>
      <c r="G250" s="2721">
        <f t="shared" si="29"/>
        <v>208869</v>
      </c>
      <c r="H250" s="2720">
        <f t="shared" si="29"/>
        <v>0</v>
      </c>
      <c r="I250" s="3027">
        <f t="shared" si="29"/>
        <v>0.24976323379586449</v>
      </c>
      <c r="J250" s="2720">
        <f t="shared" si="29"/>
        <v>0</v>
      </c>
      <c r="K250" s="2721">
        <f t="shared" si="29"/>
        <v>1601</v>
      </c>
      <c r="L250" s="2721">
        <f t="shared" si="29"/>
        <v>0</v>
      </c>
      <c r="M250" s="2721">
        <f t="shared" si="29"/>
        <v>223686</v>
      </c>
      <c r="N250" s="2720">
        <f t="shared" si="29"/>
        <v>0</v>
      </c>
      <c r="O250" s="3027">
        <f t="shared" si="29"/>
        <v>0.28493108108624515</v>
      </c>
    </row>
    <row r="251" spans="2:15">
      <c r="B251" s="2720">
        <f t="shared" ref="B251:O251" si="30">B28</f>
        <v>0</v>
      </c>
      <c r="C251" s="1394" t="str">
        <f>IF(AND($E28=0,$G28=0,$I28=0,$K28=0,$M28=0,$O28=0),"",$C28)</f>
        <v/>
      </c>
      <c r="D251" s="2720">
        <f t="shared" si="30"/>
        <v>0</v>
      </c>
      <c r="E251" s="2721">
        <f t="shared" si="30"/>
        <v>0</v>
      </c>
      <c r="F251" s="2721">
        <f t="shared" si="30"/>
        <v>0</v>
      </c>
      <c r="G251" s="2721">
        <f t="shared" si="30"/>
        <v>0</v>
      </c>
      <c r="H251" s="2720">
        <f t="shared" si="30"/>
        <v>0</v>
      </c>
      <c r="I251" s="3027">
        <f t="shared" si="30"/>
        <v>0</v>
      </c>
      <c r="J251" s="2720">
        <f t="shared" si="30"/>
        <v>0</v>
      </c>
      <c r="K251" s="2721">
        <f t="shared" si="30"/>
        <v>0</v>
      </c>
      <c r="L251" s="2721">
        <f t="shared" si="30"/>
        <v>0</v>
      </c>
      <c r="M251" s="2721">
        <f t="shared" si="30"/>
        <v>0</v>
      </c>
      <c r="N251" s="2720">
        <f t="shared" si="30"/>
        <v>0</v>
      </c>
      <c r="O251" s="3027">
        <f t="shared" si="30"/>
        <v>0</v>
      </c>
    </row>
    <row r="252" spans="2:15">
      <c r="B252" s="2720">
        <f t="shared" ref="B252:O252" si="31">B31</f>
        <v>0</v>
      </c>
      <c r="C252" s="1394" t="str">
        <f t="shared" ref="C252:C263" si="32">IF(AND($E31=0,$G31=0,$I31=0,$K31=0,$M31=0,$O31=0),"",$C31)</f>
        <v>שכר חינוך</v>
      </c>
      <c r="D252" s="2720">
        <f t="shared" si="31"/>
        <v>0</v>
      </c>
      <c r="E252" s="2721">
        <f t="shared" si="31"/>
        <v>154130</v>
      </c>
      <c r="F252" s="2721">
        <f t="shared" si="31"/>
        <v>0</v>
      </c>
      <c r="G252" s="2721">
        <f t="shared" si="31"/>
        <v>147277</v>
      </c>
      <c r="H252" s="2720">
        <f t="shared" si="31"/>
        <v>0</v>
      </c>
      <c r="I252" s="3027">
        <f t="shared" si="31"/>
        <v>0.17611220326498203</v>
      </c>
      <c r="J252" s="2720">
        <f t="shared" si="31"/>
        <v>0</v>
      </c>
      <c r="K252" s="2721">
        <f t="shared" si="31"/>
        <v>6853</v>
      </c>
      <c r="L252" s="2721">
        <f t="shared" si="31"/>
        <v>0</v>
      </c>
      <c r="M252" s="2721">
        <f t="shared" si="31"/>
        <v>139341</v>
      </c>
      <c r="N252" s="2720">
        <f t="shared" si="31"/>
        <v>0</v>
      </c>
      <c r="O252" s="3027">
        <f t="shared" si="31"/>
        <v>0.17749247503034826</v>
      </c>
    </row>
    <row r="253" spans="2:15">
      <c r="B253" s="2720">
        <f t="shared" ref="B253:O253" si="33">B32</f>
        <v>0</v>
      </c>
      <c r="C253" s="1394" t="str">
        <f t="shared" si="32"/>
        <v>פעולות חינוך</v>
      </c>
      <c r="D253" s="2720">
        <f t="shared" si="33"/>
        <v>0</v>
      </c>
      <c r="E253" s="2721">
        <f t="shared" si="33"/>
        <v>115202</v>
      </c>
      <c r="F253" s="2721">
        <f t="shared" si="33"/>
        <v>0</v>
      </c>
      <c r="G253" s="2721">
        <f t="shared" si="33"/>
        <v>112702</v>
      </c>
      <c r="H253" s="2720">
        <f t="shared" si="33"/>
        <v>0</v>
      </c>
      <c r="I253" s="3027">
        <f t="shared" si="33"/>
        <v>0.13476780170949981</v>
      </c>
      <c r="J253" s="2720">
        <f t="shared" si="33"/>
        <v>0</v>
      </c>
      <c r="K253" s="2721">
        <f t="shared" si="33"/>
        <v>2500</v>
      </c>
      <c r="L253" s="2721">
        <f t="shared" si="33"/>
        <v>0</v>
      </c>
      <c r="M253" s="2721">
        <f t="shared" si="33"/>
        <v>106787</v>
      </c>
      <c r="N253" s="2720">
        <f t="shared" si="33"/>
        <v>0</v>
      </c>
      <c r="O253" s="3027">
        <f t="shared" si="33"/>
        <v>0.13602521103670709</v>
      </c>
    </row>
    <row r="254" spans="2:15">
      <c r="B254" s="2720">
        <f t="shared" ref="B254:O254" si="34">B33</f>
        <v>0</v>
      </c>
      <c r="C254" s="1394" t="str">
        <f t="shared" si="32"/>
        <v>שכר רווחה</v>
      </c>
      <c r="D254" s="2720">
        <f t="shared" si="34"/>
        <v>0</v>
      </c>
      <c r="E254" s="2721">
        <f t="shared" si="34"/>
        <v>19149</v>
      </c>
      <c r="F254" s="2721">
        <f t="shared" si="34"/>
        <v>0</v>
      </c>
      <c r="G254" s="2721">
        <f t="shared" si="34"/>
        <v>18209</v>
      </c>
      <c r="H254" s="2720">
        <f t="shared" si="34"/>
        <v>0</v>
      </c>
      <c r="I254" s="3027">
        <f t="shared" si="34"/>
        <v>2.1774120258099078E-2</v>
      </c>
      <c r="J254" s="2720">
        <f t="shared" si="34"/>
        <v>0</v>
      </c>
      <c r="K254" s="2721">
        <f t="shared" si="34"/>
        <v>940</v>
      </c>
      <c r="L254" s="2721">
        <f t="shared" si="34"/>
        <v>0</v>
      </c>
      <c r="M254" s="2721">
        <f t="shared" si="34"/>
        <v>16804</v>
      </c>
      <c r="N254" s="2720">
        <f t="shared" si="34"/>
        <v>0</v>
      </c>
      <c r="O254" s="3027">
        <f t="shared" si="34"/>
        <v>2.1404924253521737E-2</v>
      </c>
    </row>
    <row r="255" spans="2:15">
      <c r="B255" s="2720">
        <f t="shared" ref="B255:O255" si="35">B34</f>
        <v>0</v>
      </c>
      <c r="C255" s="1394" t="str">
        <f t="shared" si="32"/>
        <v>פעולות רווחה</v>
      </c>
      <c r="D255" s="2720">
        <f t="shared" si="35"/>
        <v>0</v>
      </c>
      <c r="E255" s="2721">
        <f t="shared" si="35"/>
        <v>72314</v>
      </c>
      <c r="F255" s="2721">
        <f t="shared" si="35"/>
        <v>0</v>
      </c>
      <c r="G255" s="2721">
        <f t="shared" si="35"/>
        <v>69270</v>
      </c>
      <c r="H255" s="2720">
        <f t="shared" si="35"/>
        <v>0</v>
      </c>
      <c r="I255" s="3027">
        <f t="shared" si="35"/>
        <v>8.2832297780137468E-2</v>
      </c>
      <c r="J255" s="2720">
        <f t="shared" si="35"/>
        <v>0</v>
      </c>
      <c r="K255" s="2721">
        <f t="shared" si="35"/>
        <v>3044</v>
      </c>
      <c r="L255" s="2721">
        <f t="shared" si="35"/>
        <v>0</v>
      </c>
      <c r="M255" s="2721">
        <f t="shared" si="35"/>
        <v>65141</v>
      </c>
      <c r="N255" s="2720">
        <f t="shared" si="35"/>
        <v>0</v>
      </c>
      <c r="O255" s="3027">
        <f t="shared" si="35"/>
        <v>8.2976563365785488E-2</v>
      </c>
    </row>
    <row r="256" spans="2:15">
      <c r="B256" s="2720">
        <f t="shared" ref="B256:O256" si="36">B35</f>
        <v>0</v>
      </c>
      <c r="C256" s="1394" t="str">
        <f t="shared" si="32"/>
        <v>פרעון מלוות</v>
      </c>
      <c r="D256" s="2720">
        <f t="shared" si="36"/>
        <v>0</v>
      </c>
      <c r="E256" s="2721">
        <f t="shared" si="36"/>
        <v>36600</v>
      </c>
      <c r="F256" s="2721">
        <f t="shared" si="36"/>
        <v>0</v>
      </c>
      <c r="G256" s="2721">
        <f t="shared" si="36"/>
        <v>34633</v>
      </c>
      <c r="H256" s="2720">
        <f t="shared" si="36"/>
        <v>0</v>
      </c>
      <c r="I256" s="3027">
        <f t="shared" si="36"/>
        <v>4.141375731224918E-2</v>
      </c>
      <c r="J256" s="2720">
        <f t="shared" si="36"/>
        <v>0</v>
      </c>
      <c r="K256" s="2721">
        <f t="shared" si="36"/>
        <v>1967</v>
      </c>
      <c r="L256" s="2721">
        <f t="shared" si="36"/>
        <v>0</v>
      </c>
      <c r="M256" s="2721">
        <f t="shared" si="36"/>
        <v>40282</v>
      </c>
      <c r="N256" s="2720">
        <f t="shared" si="36"/>
        <v>0</v>
      </c>
      <c r="O256" s="3027">
        <f t="shared" si="36"/>
        <v>5.1311185359459804E-2</v>
      </c>
    </row>
    <row r="257" spans="2:15">
      <c r="B257" s="2720">
        <f t="shared" ref="B257:O257" si="37">B36</f>
        <v>0</v>
      </c>
      <c r="C257" s="1394" t="str">
        <f t="shared" si="32"/>
        <v>מימון</v>
      </c>
      <c r="D257" s="2720">
        <f t="shared" si="37"/>
        <v>0</v>
      </c>
      <c r="E257" s="2721">
        <f t="shared" si="37"/>
        <v>2910</v>
      </c>
      <c r="F257" s="2721">
        <f t="shared" si="37"/>
        <v>0</v>
      </c>
      <c r="G257" s="2721">
        <f t="shared" si="37"/>
        <v>2630</v>
      </c>
      <c r="H257" s="2720">
        <f t="shared" si="37"/>
        <v>0</v>
      </c>
      <c r="I257" s="3027">
        <f t="shared" si="37"/>
        <v>3.1449248327091316E-3</v>
      </c>
      <c r="J257" s="2720">
        <f t="shared" si="37"/>
        <v>0</v>
      </c>
      <c r="K257" s="2721">
        <f t="shared" si="37"/>
        <v>280</v>
      </c>
      <c r="L257" s="2721">
        <f t="shared" si="37"/>
        <v>0</v>
      </c>
      <c r="M257" s="2721">
        <f t="shared" si="37"/>
        <v>2503</v>
      </c>
      <c r="N257" s="2720">
        <f t="shared" si="37"/>
        <v>0</v>
      </c>
      <c r="O257" s="3027">
        <f t="shared" si="37"/>
        <v>3.1883197694932697E-3</v>
      </c>
    </row>
    <row r="258" spans="2:15">
      <c r="B258" s="2720">
        <f t="shared" ref="B258:O258" si="38">B37</f>
        <v>0</v>
      </c>
      <c r="C258" s="1394" t="str">
        <f t="shared" si="32"/>
        <v xml:space="preserve">חד פעמיות </v>
      </c>
      <c r="D258" s="2720">
        <f t="shared" si="38"/>
        <v>0</v>
      </c>
      <c r="E258" s="2721">
        <f t="shared" si="38"/>
        <v>16524</v>
      </c>
      <c r="F258" s="2721">
        <f t="shared" si="38"/>
        <v>0</v>
      </c>
      <c r="G258" s="2721">
        <f t="shared" si="38"/>
        <v>42620</v>
      </c>
      <c r="H258" s="2720">
        <f t="shared" si="38"/>
        <v>0</v>
      </c>
      <c r="I258" s="3027">
        <f t="shared" si="38"/>
        <v>5.0964523334624784E-2</v>
      </c>
      <c r="J258" s="2720">
        <f t="shared" si="38"/>
        <v>0</v>
      </c>
      <c r="K258" s="2721">
        <f t="shared" si="38"/>
        <v>-26096</v>
      </c>
      <c r="L258" s="2721">
        <f t="shared" si="38"/>
        <v>0</v>
      </c>
      <c r="M258" s="2721">
        <f t="shared" si="38"/>
        <v>0</v>
      </c>
      <c r="N258" s="2720">
        <f t="shared" si="38"/>
        <v>0</v>
      </c>
      <c r="O258" s="3027">
        <f t="shared" si="38"/>
        <v>0</v>
      </c>
    </row>
    <row r="259" spans="2:15">
      <c r="B259" s="2720">
        <f t="shared" ref="B259:O259" si="39">B38</f>
        <v>0</v>
      </c>
      <c r="C259" s="1394" t="str">
        <f t="shared" si="32"/>
        <v>הנחות בארנונה (**)</v>
      </c>
      <c r="D259" s="2720">
        <f t="shared" si="39"/>
        <v>0</v>
      </c>
      <c r="E259" s="2721">
        <f t="shared" si="39"/>
        <v>49500</v>
      </c>
      <c r="F259" s="2721">
        <f t="shared" si="39"/>
        <v>0</v>
      </c>
      <c r="G259" s="2721">
        <f t="shared" si="39"/>
        <v>45760</v>
      </c>
      <c r="H259" s="2720">
        <f t="shared" si="39"/>
        <v>0</v>
      </c>
      <c r="I259" s="3027">
        <f t="shared" si="39"/>
        <v>5.471930051131934E-2</v>
      </c>
      <c r="J259" s="2720">
        <f t="shared" si="39"/>
        <v>0</v>
      </c>
      <c r="K259" s="2721">
        <f t="shared" si="39"/>
        <v>3740</v>
      </c>
      <c r="L259" s="2721">
        <f t="shared" si="39"/>
        <v>0</v>
      </c>
      <c r="M259" s="2721">
        <f t="shared" si="39"/>
        <v>44835</v>
      </c>
      <c r="N259" s="2720">
        <f t="shared" si="39"/>
        <v>0</v>
      </c>
      <c r="O259" s="3027">
        <f t="shared" si="39"/>
        <v>5.7110793793540053E-2</v>
      </c>
    </row>
    <row r="260" spans="2:15">
      <c r="B260" s="2720">
        <f t="shared" ref="B260:O260" si="40">B39</f>
        <v>0</v>
      </c>
      <c r="C260" s="1394" t="str">
        <f t="shared" si="32"/>
        <v/>
      </c>
      <c r="D260" s="2720">
        <f t="shared" si="40"/>
        <v>0</v>
      </c>
      <c r="E260" s="2721">
        <f t="shared" si="40"/>
        <v>0</v>
      </c>
      <c r="F260" s="2721">
        <f t="shared" si="40"/>
        <v>0</v>
      </c>
      <c r="G260" s="2721">
        <f t="shared" si="40"/>
        <v>0</v>
      </c>
      <c r="H260" s="2720">
        <f t="shared" si="40"/>
        <v>0</v>
      </c>
      <c r="I260" s="3027">
        <f t="shared" si="40"/>
        <v>0</v>
      </c>
      <c r="J260" s="2720">
        <f t="shared" si="40"/>
        <v>0</v>
      </c>
      <c r="K260" s="2721">
        <f t="shared" si="40"/>
        <v>0</v>
      </c>
      <c r="L260" s="2721">
        <f t="shared" si="40"/>
        <v>0</v>
      </c>
      <c r="M260" s="2721">
        <f t="shared" si="40"/>
        <v>0</v>
      </c>
      <c r="N260" s="2720">
        <f t="shared" si="40"/>
        <v>0</v>
      </c>
      <c r="O260" s="3027">
        <f t="shared" si="40"/>
        <v>0</v>
      </c>
    </row>
    <row r="261" spans="2:15">
      <c r="B261" s="2720">
        <f t="shared" ref="B261:O261" si="41">B40</f>
        <v>0</v>
      </c>
      <c r="C261" s="1394" t="str">
        <f t="shared" si="32"/>
        <v>סה"כ  ללא כיסוי גרעון מצטבר</v>
      </c>
      <c r="D261" s="2720">
        <f t="shared" si="41"/>
        <v>0</v>
      </c>
      <c r="E261" s="2722">
        <f t="shared" si="41"/>
        <v>836225</v>
      </c>
      <c r="F261" s="2721">
        <f t="shared" si="41"/>
        <v>0</v>
      </c>
      <c r="G261" s="2722">
        <f t="shared" si="41"/>
        <v>836268</v>
      </c>
      <c r="H261" s="2720">
        <f t="shared" si="41"/>
        <v>0</v>
      </c>
      <c r="I261" s="3028">
        <f t="shared" si="41"/>
        <v>1</v>
      </c>
      <c r="J261" s="2720">
        <f t="shared" si="41"/>
        <v>0</v>
      </c>
      <c r="K261" s="2722">
        <f t="shared" si="41"/>
        <v>-43</v>
      </c>
      <c r="L261" s="2721">
        <f t="shared" si="41"/>
        <v>0</v>
      </c>
      <c r="M261" s="2722">
        <f t="shared" si="41"/>
        <v>785053</v>
      </c>
      <c r="N261" s="2720">
        <f t="shared" si="41"/>
        <v>0</v>
      </c>
      <c r="O261" s="3028">
        <f t="shared" si="41"/>
        <v>1</v>
      </c>
    </row>
    <row r="262" spans="2:15">
      <c r="B262" s="2720">
        <f t="shared" ref="B262:O262" si="42">B41</f>
        <v>0</v>
      </c>
      <c r="C262" s="1394" t="str">
        <f t="shared" si="32"/>
        <v/>
      </c>
      <c r="D262" s="2720">
        <f t="shared" si="42"/>
        <v>0</v>
      </c>
      <c r="E262" s="2721">
        <f t="shared" si="42"/>
        <v>0</v>
      </c>
      <c r="F262" s="2721">
        <f t="shared" si="42"/>
        <v>0</v>
      </c>
      <c r="G262" s="2721">
        <f t="shared" si="42"/>
        <v>0</v>
      </c>
      <c r="H262" s="2720">
        <f t="shared" si="42"/>
        <v>0</v>
      </c>
      <c r="I262" s="2720">
        <f t="shared" si="42"/>
        <v>0</v>
      </c>
      <c r="J262" s="2720">
        <f t="shared" si="42"/>
        <v>0</v>
      </c>
      <c r="K262" s="2721">
        <f t="shared" si="42"/>
        <v>0</v>
      </c>
      <c r="L262" s="2721">
        <f t="shared" si="42"/>
        <v>0</v>
      </c>
      <c r="M262" s="2721">
        <f t="shared" si="42"/>
        <v>0</v>
      </c>
      <c r="N262" s="2720">
        <f t="shared" si="42"/>
        <v>0</v>
      </c>
      <c r="O262" s="2720">
        <f t="shared" si="42"/>
        <v>0</v>
      </c>
    </row>
    <row r="263" spans="2:15">
      <c r="B263" s="2720">
        <f t="shared" ref="B263:O263" si="43">B42</f>
        <v>0</v>
      </c>
      <c r="C263" s="1394" t="str">
        <f t="shared" si="32"/>
        <v>סה"כ הוצאות</v>
      </c>
      <c r="D263" s="2720">
        <f t="shared" si="43"/>
        <v>0</v>
      </c>
      <c r="E263" s="2808">
        <f t="shared" si="43"/>
        <v>836225</v>
      </c>
      <c r="F263" s="2721">
        <f t="shared" si="43"/>
        <v>0</v>
      </c>
      <c r="G263" s="2808">
        <f t="shared" si="43"/>
        <v>836268</v>
      </c>
      <c r="H263" s="2720">
        <f t="shared" si="43"/>
        <v>0</v>
      </c>
      <c r="I263" s="2720">
        <f t="shared" si="43"/>
        <v>0</v>
      </c>
      <c r="J263" s="2720">
        <f t="shared" si="43"/>
        <v>0</v>
      </c>
      <c r="K263" s="2808">
        <f t="shared" si="43"/>
        <v>-43</v>
      </c>
      <c r="L263" s="2721">
        <f t="shared" si="43"/>
        <v>0</v>
      </c>
      <c r="M263" s="2808">
        <f t="shared" si="43"/>
        <v>785053</v>
      </c>
      <c r="N263" s="2720">
        <f t="shared" si="43"/>
        <v>0</v>
      </c>
      <c r="O263" s="2720">
        <f t="shared" si="43"/>
        <v>0</v>
      </c>
    </row>
    <row r="264" spans="2:15">
      <c r="B264" s="2720">
        <f t="shared" ref="B264:O264" si="44">B43</f>
        <v>0</v>
      </c>
      <c r="C264" s="2720">
        <f t="shared" si="44"/>
        <v>0</v>
      </c>
      <c r="D264" s="2720">
        <f t="shared" si="44"/>
        <v>0</v>
      </c>
      <c r="E264" s="2721">
        <f t="shared" si="44"/>
        <v>0</v>
      </c>
      <c r="F264" s="2721">
        <f t="shared" si="44"/>
        <v>0</v>
      </c>
      <c r="G264" s="2721">
        <f t="shared" si="44"/>
        <v>0</v>
      </c>
      <c r="H264" s="2720">
        <f t="shared" si="44"/>
        <v>0</v>
      </c>
      <c r="I264" s="2720">
        <f t="shared" si="44"/>
        <v>0</v>
      </c>
      <c r="J264" s="2720">
        <f t="shared" si="44"/>
        <v>0</v>
      </c>
      <c r="K264" s="2721">
        <f t="shared" si="44"/>
        <v>0</v>
      </c>
      <c r="L264" s="2721">
        <f t="shared" si="44"/>
        <v>0</v>
      </c>
      <c r="M264" s="2721">
        <f t="shared" si="44"/>
        <v>0</v>
      </c>
      <c r="N264" s="2720">
        <f t="shared" si="44"/>
        <v>0</v>
      </c>
      <c r="O264" s="2720">
        <f t="shared" si="44"/>
        <v>0</v>
      </c>
    </row>
    <row r="265" spans="2:15" ht="13.8" thickBot="1">
      <c r="B265" s="2720">
        <f t="shared" ref="B265:O265" si="45">B44</f>
        <v>0</v>
      </c>
      <c r="C265" s="1389" t="str">
        <f>IF(AND($E44=0,$G44=0,$I44=0,$K44=0,$M44=0,$O44=0),"",$C44)</f>
        <v>עודף (גרעון)</v>
      </c>
      <c r="D265" s="2720">
        <f t="shared" si="45"/>
        <v>0</v>
      </c>
      <c r="E265" s="2804">
        <f t="shared" si="45"/>
        <v>0</v>
      </c>
      <c r="F265" s="2721">
        <f t="shared" si="45"/>
        <v>0</v>
      </c>
      <c r="G265" s="2804">
        <f t="shared" si="45"/>
        <v>17517</v>
      </c>
      <c r="H265" s="2720">
        <f t="shared" si="45"/>
        <v>0</v>
      </c>
      <c r="I265" s="2720">
        <f t="shared" si="45"/>
        <v>0</v>
      </c>
      <c r="J265" s="2720">
        <f t="shared" si="45"/>
        <v>0</v>
      </c>
      <c r="K265" s="2804">
        <f t="shared" si="45"/>
        <v>17517</v>
      </c>
      <c r="L265" s="2721">
        <f t="shared" si="45"/>
        <v>0</v>
      </c>
      <c r="M265" s="2804">
        <f t="shared" si="45"/>
        <v>10642</v>
      </c>
      <c r="N265" s="2720">
        <f t="shared" si="45"/>
        <v>0</v>
      </c>
      <c r="O265" s="2720">
        <f t="shared" si="45"/>
        <v>0</v>
      </c>
    </row>
    <row r="266" spans="2:15" ht="13.8" thickTop="1">
      <c r="B266" s="2720"/>
      <c r="C266" s="2720"/>
      <c r="D266" s="2720"/>
      <c r="E266" s="2720"/>
      <c r="F266" s="2720"/>
      <c r="G266" s="3111"/>
      <c r="H266" s="2720"/>
      <c r="I266" s="2720"/>
      <c r="J266" s="2720"/>
      <c r="K266" s="2720"/>
      <c r="L266" s="2720"/>
      <c r="M266" s="2720"/>
      <c r="N266" s="2720"/>
      <c r="O266" s="2720"/>
    </row>
    <row r="267" spans="2:15" ht="6" customHeight="1">
      <c r="B267" s="2720"/>
      <c r="C267" s="2720"/>
      <c r="D267" s="2720"/>
      <c r="E267" s="2720"/>
      <c r="F267" s="2720"/>
      <c r="G267" s="3111"/>
      <c r="H267" s="2720"/>
      <c r="I267" s="2720"/>
      <c r="J267" s="2720"/>
      <c r="K267" s="2720"/>
      <c r="L267" s="2720"/>
      <c r="M267" s="2720"/>
      <c r="N267" s="2720"/>
      <c r="O267" s="2720"/>
    </row>
    <row r="268" spans="2:15">
      <c r="B268" s="1277">
        <f>B45</f>
        <v>0</v>
      </c>
      <c r="C268" s="1277" t="str">
        <f>CONCATENATE(C45,"    ",G45)</f>
        <v xml:space="preserve">(*) כולל הנחות ועדה, הנחות על פי דין, הנחות מימון ופטורים.    </v>
      </c>
      <c r="G268" s="1277"/>
    </row>
    <row r="269" spans="2:15">
      <c r="C269" s="1277" t="str">
        <f>CONCATENATE(C46,"    ",G46)</f>
        <v xml:space="preserve">(**) כולל הנחות ועדה והנחות או פטורים על פי דין. הנחות מימון נכללו בסעיף הוצאות מימון    </v>
      </c>
      <c r="G269" s="1277"/>
    </row>
    <row r="270" spans="2:15">
      <c r="C270" s="1277">
        <f>IF(C47&lt;&gt;"(***)",C47,0)</f>
        <v>0</v>
      </c>
      <c r="G270" s="1277"/>
    </row>
  </sheetData>
  <sheetProtection password="83C1" sheet="1" objects="1" scenarios="1"/>
  <mergeCells count="14">
    <mergeCell ref="B222:O222"/>
    <mergeCell ref="B224:O224"/>
    <mergeCell ref="B223:O223"/>
    <mergeCell ref="D2:P2"/>
    <mergeCell ref="D3:P3"/>
    <mergeCell ref="K5:K6"/>
    <mergeCell ref="M5:M6"/>
    <mergeCell ref="A5:A6"/>
    <mergeCell ref="E1:P1"/>
    <mergeCell ref="E5:E6"/>
    <mergeCell ref="G5:G6"/>
    <mergeCell ref="I5:I6"/>
    <mergeCell ref="O5:O6"/>
    <mergeCell ref="C5:C6"/>
  </mergeCells>
  <phoneticPr fontId="4" type="noConversion"/>
  <hyperlinks>
    <hyperlink ref="A4" location="'תוכן הענינים'!A1" tooltip="לחץ להצגת גליון תוכן הענינים" display="הצג תוכן ענינים"/>
  </hyperlinks>
  <printOptions horizontalCentered="1"/>
  <pageMargins left="0" right="7.8740157480315001E-2" top="0.39" bottom="0.35433070866141703" header="0.25" footer="3.9370078740157501E-2"/>
  <pageSetup paperSize="9" scale="92" orientation="landscape" blackAndWhite="1" horizontalDpi="300" verticalDpi="300" r:id="rId1"/>
  <headerFooter alignWithMargins="0">
    <oddHeader>&amp;L&amp;8&amp;A</oddHeader>
    <oddFooter>&amp;C&amp;8&amp;P</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8">
    <pageSetUpPr autoPageBreaks="0"/>
  </sheetPr>
  <dimension ref="A1:U247"/>
  <sheetViews>
    <sheetView showGridLines="0" showRowColHeaders="0" showZeros="0" rightToLeft="1" showOutlineSymbols="0" zoomScaleNormal="100" zoomScaleSheetLayoutView="75" workbookViewId="0">
      <selection activeCell="A3" sqref="A3"/>
    </sheetView>
  </sheetViews>
  <sheetFormatPr defaultColWidth="9.109375" defaultRowHeight="13.2"/>
  <cols>
    <col min="1" max="1" width="9.109375" style="1545"/>
    <col min="2" max="2" width="26" style="1545" customWidth="1"/>
    <col min="3" max="3" width="12.33203125" style="1545" customWidth="1"/>
    <col min="4" max="4" width="2.44140625" style="1545" customWidth="1"/>
    <col min="5" max="5" width="12.33203125" style="1545" customWidth="1"/>
    <col min="6" max="6" width="2.5546875" style="1545" customWidth="1"/>
    <col min="7" max="7" width="12.33203125" style="1545" customWidth="1"/>
    <col min="8" max="8" width="2.5546875" style="1545" customWidth="1"/>
    <col min="9" max="9" width="12.33203125" style="1545" customWidth="1"/>
    <col min="10" max="10" width="2.5546875" style="1545" customWidth="1"/>
    <col min="11" max="11" width="12.33203125" style="1545" customWidth="1"/>
    <col min="12" max="12" width="2.5546875" style="1545" customWidth="1"/>
    <col min="13" max="13" width="12.33203125" style="1545" customWidth="1"/>
    <col min="14" max="14" width="2.5546875" style="1545" customWidth="1"/>
    <col min="15" max="15" width="12.33203125" style="1545" customWidth="1"/>
    <col min="16" max="16" width="2.5546875" style="1545" customWidth="1"/>
    <col min="17" max="17" width="12.33203125" style="1545" customWidth="1"/>
    <col min="18" max="16384" width="9.109375" style="1545"/>
  </cols>
  <sheetData>
    <row r="1" spans="1:21" ht="24.75" customHeight="1">
      <c r="A1" s="1542"/>
      <c r="B1" s="1543"/>
      <c r="C1" s="1542"/>
      <c r="D1" s="1543"/>
      <c r="E1" s="1542"/>
      <c r="F1" s="1542"/>
      <c r="G1" s="3594" t="str">
        <f>'הגדרות כלליות'!D6</f>
        <v>עירית הרצליה</v>
      </c>
      <c r="H1" s="3493"/>
      <c r="I1" s="3493"/>
      <c r="J1" s="3493"/>
      <c r="K1" s="3493"/>
      <c r="L1" s="3493"/>
      <c r="M1" s="3493"/>
      <c r="N1" s="3493"/>
      <c r="O1" s="3493"/>
      <c r="P1" s="3493"/>
      <c r="Q1" s="3493"/>
      <c r="R1" s="1542"/>
      <c r="S1" s="1544"/>
    </row>
    <row r="2" spans="1:21" ht="28.5" customHeight="1">
      <c r="A2" s="1542"/>
      <c r="B2" s="1543"/>
      <c r="C2" s="1543"/>
      <c r="D2" s="1543"/>
      <c r="E2" s="1543"/>
      <c r="F2" s="1543"/>
      <c r="G2" s="3595" t="str">
        <f>CONCATENATE("נתוני כוח אדם והוצאות לשכר לשנה שנסתיימה ביום 31 בדצמבר ",Shana, " ","באלפי ש""ח")</f>
        <v>נתוני כוח אדם והוצאות לשכר לשנה שנסתיימה ביום 31 בדצמבר 2015 באלפי ש"ח</v>
      </c>
      <c r="H2" s="3596"/>
      <c r="I2" s="3596"/>
      <c r="J2" s="3596"/>
      <c r="K2" s="3596"/>
      <c r="L2" s="3596"/>
      <c r="M2" s="3596"/>
      <c r="N2" s="3596"/>
      <c r="O2" s="3596"/>
      <c r="P2" s="3596"/>
      <c r="Q2" s="3596"/>
      <c r="R2" s="1542"/>
      <c r="S2" s="1544"/>
    </row>
    <row r="3" spans="1:21" ht="22.5" customHeight="1">
      <c r="A3" s="7" t="s">
        <v>339</v>
      </c>
      <c r="B3" s="1546"/>
      <c r="C3" s="977"/>
      <c r="D3" s="977"/>
      <c r="E3" s="977"/>
      <c r="F3" s="977"/>
      <c r="G3" s="977"/>
      <c r="H3" s="977"/>
      <c r="I3" s="977"/>
      <c r="J3" s="977"/>
      <c r="K3" s="977"/>
      <c r="L3" s="977"/>
      <c r="M3" s="977"/>
      <c r="N3" s="977"/>
      <c r="O3" s="977"/>
      <c r="P3" s="977"/>
      <c r="Q3" s="977"/>
      <c r="R3" s="1547"/>
      <c r="S3" s="1544"/>
    </row>
    <row r="4" spans="1:21">
      <c r="A4" s="1547"/>
      <c r="B4" s="1551"/>
      <c r="C4" s="1548"/>
      <c r="D4" s="1548"/>
      <c r="E4" s="1548"/>
      <c r="F4" s="1548"/>
      <c r="G4" s="198" t="s">
        <v>954</v>
      </c>
      <c r="H4" s="1549"/>
      <c r="I4" s="1548"/>
      <c r="J4" s="1548"/>
      <c r="K4" s="1548"/>
      <c r="L4" s="1550"/>
      <c r="M4" s="3600"/>
      <c r="N4" s="3600"/>
      <c r="O4" s="3597" t="s">
        <v>846</v>
      </c>
      <c r="P4" s="3597"/>
      <c r="Q4" s="3598"/>
      <c r="R4" s="1547"/>
      <c r="S4" s="1544"/>
    </row>
    <row r="5" spans="1:21">
      <c r="A5" s="1547"/>
      <c r="B5" s="1551"/>
      <c r="C5" s="1552"/>
      <c r="D5" s="1552"/>
      <c r="E5" s="1552"/>
      <c r="F5" s="1552"/>
      <c r="G5" s="1552"/>
      <c r="H5" s="1552"/>
      <c r="I5" s="1552"/>
      <c r="J5" s="1552"/>
      <c r="K5" s="1552" t="s">
        <v>955</v>
      </c>
      <c r="L5" s="1552"/>
      <c r="M5" s="1553"/>
      <c r="N5" s="1553"/>
      <c r="O5" s="1553"/>
      <c r="P5" s="1553"/>
      <c r="Q5" s="1554" t="s">
        <v>955</v>
      </c>
      <c r="R5" s="1547"/>
      <c r="S5" s="1544"/>
      <c r="U5" s="1545" t="s">
        <v>2155</v>
      </c>
    </row>
    <row r="6" spans="1:21">
      <c r="A6" s="1547"/>
      <c r="B6" s="1551"/>
      <c r="C6" s="1552"/>
      <c r="D6" s="1552"/>
      <c r="E6" s="1552"/>
      <c r="F6" s="1552"/>
      <c r="G6" s="1552" t="s">
        <v>956</v>
      </c>
      <c r="H6" s="1552"/>
      <c r="I6" s="1552" t="s">
        <v>957</v>
      </c>
      <c r="J6" s="1552"/>
      <c r="K6" s="1552" t="s">
        <v>958</v>
      </c>
      <c r="L6" s="1552"/>
      <c r="M6" s="1552" t="s">
        <v>619</v>
      </c>
      <c r="N6" s="1553"/>
      <c r="O6" s="1552" t="s">
        <v>957</v>
      </c>
      <c r="P6" s="1553"/>
      <c r="Q6" s="1555" t="s">
        <v>958</v>
      </c>
      <c r="R6" s="1547"/>
      <c r="S6" s="1544"/>
      <c r="U6" s="1545" t="s">
        <v>2157</v>
      </c>
    </row>
    <row r="7" spans="1:21">
      <c r="A7" s="1547"/>
      <c r="B7" s="1551"/>
      <c r="C7" s="1552" t="s">
        <v>959</v>
      </c>
      <c r="D7" s="1552"/>
      <c r="E7" s="1552" t="s">
        <v>959</v>
      </c>
      <c r="F7" s="1552"/>
      <c r="G7" s="1552" t="s">
        <v>960</v>
      </c>
      <c r="H7" s="1552"/>
      <c r="I7" s="1552" t="s">
        <v>1313</v>
      </c>
      <c r="J7" s="1552"/>
      <c r="K7" s="1552" t="s">
        <v>961</v>
      </c>
      <c r="L7" s="1552"/>
      <c r="M7" s="1552" t="s">
        <v>620</v>
      </c>
      <c r="N7" s="1553"/>
      <c r="O7" s="1552" t="s">
        <v>1315</v>
      </c>
      <c r="P7" s="1553"/>
      <c r="Q7" s="1555" t="s">
        <v>961</v>
      </c>
      <c r="R7" s="1547"/>
      <c r="S7" s="1544"/>
      <c r="U7" s="1545" t="s">
        <v>2156</v>
      </c>
    </row>
    <row r="8" spans="1:21">
      <c r="A8" s="1547"/>
      <c r="B8" s="1556" t="s">
        <v>962</v>
      </c>
      <c r="C8" s="1557" t="s">
        <v>617</v>
      </c>
      <c r="D8" s="1557"/>
      <c r="E8" s="1557" t="s">
        <v>618</v>
      </c>
      <c r="F8" s="1557"/>
      <c r="G8" s="1557" t="s">
        <v>963</v>
      </c>
      <c r="H8" s="1557"/>
      <c r="I8" s="1557" t="s">
        <v>1314</v>
      </c>
      <c r="J8" s="1557"/>
      <c r="K8" s="1557" t="s">
        <v>964</v>
      </c>
      <c r="L8" s="1557"/>
      <c r="M8" s="1557" t="s">
        <v>958</v>
      </c>
      <c r="N8" s="1557"/>
      <c r="O8" s="1557" t="s">
        <v>1314</v>
      </c>
      <c r="P8" s="1557"/>
      <c r="Q8" s="1558" t="s">
        <v>964</v>
      </c>
      <c r="R8" s="1547"/>
      <c r="S8" s="1544"/>
      <c r="U8" s="1545" t="s">
        <v>1085</v>
      </c>
    </row>
    <row r="9" spans="1:21">
      <c r="A9" s="1547"/>
      <c r="B9" s="1559"/>
      <c r="C9" s="1560"/>
      <c r="D9" s="1560"/>
      <c r="E9" s="1560"/>
      <c r="F9" s="1560"/>
      <c r="G9" s="1560"/>
      <c r="H9" s="1560"/>
      <c r="I9" s="1560"/>
      <c r="J9" s="1560"/>
      <c r="K9" s="1560"/>
      <c r="L9" s="1560"/>
      <c r="M9" s="1560"/>
      <c r="N9" s="1560"/>
      <c r="O9" s="1560"/>
      <c r="P9" s="1560"/>
      <c r="Q9" s="1561"/>
      <c r="R9" s="1547"/>
      <c r="S9" s="1544"/>
    </row>
    <row r="10" spans="1:21">
      <c r="A10" s="1547"/>
      <c r="B10" s="1559" t="s">
        <v>726</v>
      </c>
      <c r="C10" s="1563">
        <f>'נתונים לנספח 4 לטופס 2 חלק א'!$B$6</f>
        <v>707.7</v>
      </c>
      <c r="D10" s="1562"/>
      <c r="E10" s="1563">
        <f>'נתונים לנספח 4 לטופס 2 חלק א'!$C$6</f>
        <v>949.28</v>
      </c>
      <c r="F10" s="1564"/>
      <c r="G10" s="1565">
        <f>'נתונים לנספח 4 לטופס 2 חלק א'!$D$6</f>
        <v>943.96</v>
      </c>
      <c r="H10" s="1564"/>
      <c r="I10" s="1566">
        <f>'נתונים לנספח 4 לטופס 2 חלק א'!$G$6</f>
        <v>147397</v>
      </c>
      <c r="J10" s="1567"/>
      <c r="K10" s="1563">
        <f t="shared" ref="K10:K26" si="0">IF(G10&lt;&gt;0,I10/G10,0)</f>
        <v>156.14750625026483</v>
      </c>
      <c r="L10" s="1568"/>
      <c r="M10" s="1565">
        <f>'נתונים לנספח 4 לטופס 2 חלק א'!$I$6</f>
        <v>886</v>
      </c>
      <c r="N10" s="1567"/>
      <c r="O10" s="1566">
        <f>'נתונים לנספח 4 לטופס 2 חלק א'!$L$6</f>
        <v>142277</v>
      </c>
      <c r="P10" s="1567"/>
      <c r="Q10" s="1569">
        <f>IF(M10&lt;&gt;0,O10/M10,0)</f>
        <v>160.58352144469526</v>
      </c>
      <c r="R10" s="1547"/>
      <c r="S10" s="1544"/>
    </row>
    <row r="11" spans="1:21">
      <c r="A11" s="1547"/>
      <c r="B11" s="1559" t="s">
        <v>727</v>
      </c>
      <c r="C11" s="1563">
        <f>'נתונים לנספח 4 לטופס 2 חלק א'!$B$7</f>
        <v>0</v>
      </c>
      <c r="D11" s="1562"/>
      <c r="E11" s="1563">
        <f>'נתונים לנספח 4 לטופס 2 חלק א'!$C$7</f>
        <v>0</v>
      </c>
      <c r="F11" s="1564"/>
      <c r="G11" s="1565">
        <f>'נתונים לנספח 4 לטופס 2 חלק א'!$D$7</f>
        <v>0</v>
      </c>
      <c r="H11" s="1564"/>
      <c r="I11" s="1566">
        <f>'נתונים לנספח 4 לטופס 2 חלק א'!$G$7</f>
        <v>0</v>
      </c>
      <c r="J11" s="1567"/>
      <c r="K11" s="1563">
        <f t="shared" si="0"/>
        <v>0</v>
      </c>
      <c r="L11" s="1568"/>
      <c r="M11" s="1565">
        <f>'נתונים לנספח 4 לטופס 2 חלק א'!$I$7</f>
        <v>0</v>
      </c>
      <c r="N11" s="1567"/>
      <c r="O11" s="1566">
        <f>'נתונים לנספח 4 לטופס 2 חלק א'!$L$7</f>
        <v>0</v>
      </c>
      <c r="P11" s="1567"/>
      <c r="Q11" s="1569">
        <f t="shared" ref="Q11:Q36" si="1">IF(M11&lt;&gt;0,O11/M11,0)</f>
        <v>0</v>
      </c>
      <c r="R11" s="1547"/>
      <c r="S11" s="1544"/>
    </row>
    <row r="12" spans="1:21">
      <c r="A12" s="1547"/>
      <c r="B12" s="2765" t="s">
        <v>728</v>
      </c>
      <c r="C12" s="1578">
        <f>'נתונים לנספח 4 לטופס 2 חלק א'!$B$8</f>
        <v>707.7</v>
      </c>
      <c r="D12" s="1562"/>
      <c r="E12" s="1578">
        <f>'נתונים לנספח 4 לטופס 2 חלק א'!$C$8</f>
        <v>949.28</v>
      </c>
      <c r="F12" s="1564"/>
      <c r="G12" s="2510">
        <f>'נתונים לנספח 4 לטופס 2 חלק א'!$D$8</f>
        <v>943.96</v>
      </c>
      <c r="H12" s="1564"/>
      <c r="I12" s="1580">
        <f>'נתונים לנספח 4 לטופס 2 חלק א'!$G$8</f>
        <v>147397</v>
      </c>
      <c r="J12" s="1567"/>
      <c r="K12" s="2952">
        <f t="shared" si="0"/>
        <v>156.14750625026483</v>
      </c>
      <c r="L12" s="1568"/>
      <c r="M12" s="2510">
        <f>'נתונים לנספח 4 לטופס 2 חלק א'!$I$8</f>
        <v>886</v>
      </c>
      <c r="N12" s="1567"/>
      <c r="O12" s="1580">
        <f>'נתונים לנספח 4 לטופס 2 חלק א'!$L$8</f>
        <v>142277</v>
      </c>
      <c r="P12" s="1567"/>
      <c r="Q12" s="2954">
        <f t="shared" si="1"/>
        <v>160.58352144469526</v>
      </c>
      <c r="R12" s="1547"/>
      <c r="S12" s="1544"/>
      <c r="U12" s="3248">
        <f>IF(Q12&lt;&gt;0,K12/Q12-1,0)</f>
        <v>-2.7624348715993285E-2</v>
      </c>
    </row>
    <row r="13" spans="1:21">
      <c r="A13" s="1547"/>
      <c r="B13" s="1559" t="s">
        <v>729</v>
      </c>
      <c r="C13" s="1563">
        <f>'נתונים לנספח 4 לטופס 2 חלק א'!$B$9</f>
        <v>92.32</v>
      </c>
      <c r="D13" s="1562"/>
      <c r="E13" s="1565">
        <f>'נתונים לנספח 4 לטופס 2 חלק א'!$C$9</f>
        <v>109.46</v>
      </c>
      <c r="F13" s="1571"/>
      <c r="G13" s="1565">
        <f>'נתונים לנספח 4 לטופס 2 חלק א'!$D$9</f>
        <v>103.96</v>
      </c>
      <c r="H13" s="1571"/>
      <c r="I13" s="2712">
        <f>'נתונים לנספח 4 לטופס 2 חלק א'!$G$9</f>
        <v>18216</v>
      </c>
      <c r="J13" s="1567"/>
      <c r="K13" s="1565">
        <f t="shared" si="0"/>
        <v>175.22123893805312</v>
      </c>
      <c r="L13" s="1568"/>
      <c r="M13" s="1565">
        <f>'נתונים לנספח 4 לטופס 2 חלק א'!$I$9</f>
        <v>96</v>
      </c>
      <c r="N13" s="1567"/>
      <c r="O13" s="2712">
        <f>'נתונים לנספח 4 לטופס 2 חלק א'!$L$9</f>
        <v>16990</v>
      </c>
      <c r="P13" s="1567"/>
      <c r="Q13" s="1569">
        <f t="shared" si="1"/>
        <v>176.97916666666666</v>
      </c>
      <c r="R13" s="1547"/>
      <c r="S13" s="1544"/>
    </row>
    <row r="14" spans="1:21">
      <c r="A14" s="1547"/>
      <c r="B14" s="1559" t="s">
        <v>595</v>
      </c>
      <c r="C14" s="1570">
        <f>'נתונים לנספח 4 לטופס 2 חלק א'!$B$10</f>
        <v>0</v>
      </c>
      <c r="D14" s="1562"/>
      <c r="E14" s="1570">
        <f>'נתונים לנספח 4 לטופס 2 חלק א'!$C$10</f>
        <v>0</v>
      </c>
      <c r="F14" s="1571"/>
      <c r="G14" s="1570">
        <f>'נתונים לנספח 4 לטופס 2 חלק א'!$D$10</f>
        <v>0</v>
      </c>
      <c r="H14" s="1571"/>
      <c r="I14" s="1577">
        <f>'נתונים לנספח 4 לטופס 2 חלק א'!$G$10</f>
        <v>0</v>
      </c>
      <c r="J14" s="1567"/>
      <c r="K14" s="1565">
        <f t="shared" si="0"/>
        <v>0</v>
      </c>
      <c r="L14" s="1568"/>
      <c r="M14" s="1570">
        <f>'נתונים לנספח 4 לטופס 2 חלק א'!$I$10</f>
        <v>0</v>
      </c>
      <c r="N14" s="1567"/>
      <c r="O14" s="1577">
        <f>'נתונים לנספח 4 לטופס 2 חלק א'!$L$10</f>
        <v>0</v>
      </c>
      <c r="P14" s="1567"/>
      <c r="Q14" s="1569">
        <f t="shared" si="1"/>
        <v>0</v>
      </c>
      <c r="R14" s="1547"/>
      <c r="S14" s="1544"/>
    </row>
    <row r="15" spans="1:21">
      <c r="A15" s="1547"/>
      <c r="B15" s="2765" t="s">
        <v>730</v>
      </c>
      <c r="C15" s="1578">
        <f>'נתונים לנספח 4 לטופס 2 חלק א'!$B$11</f>
        <v>92.32</v>
      </c>
      <c r="D15" s="1562"/>
      <c r="E15" s="1578">
        <f>'נתונים לנספח 4 לטופס 2 חלק א'!$C$11</f>
        <v>109.46</v>
      </c>
      <c r="F15" s="1564"/>
      <c r="G15" s="2510">
        <f>'נתונים לנספח 4 לטופס 2 חלק א'!$D$11</f>
        <v>103.96</v>
      </c>
      <c r="H15" s="1564"/>
      <c r="I15" s="1580">
        <f>'נתונים לנספח 4 לטופס 2 חלק א'!$G$11</f>
        <v>18216</v>
      </c>
      <c r="J15" s="1567"/>
      <c r="K15" s="2952">
        <f t="shared" si="0"/>
        <v>175.22123893805312</v>
      </c>
      <c r="L15" s="1568"/>
      <c r="M15" s="2510">
        <f>'נתונים לנספח 4 לטופס 2 חלק א'!$I$11</f>
        <v>96</v>
      </c>
      <c r="N15" s="1567"/>
      <c r="O15" s="1580">
        <f>'נתונים לנספח 4 לטופס 2 חלק א'!$L$11</f>
        <v>16990</v>
      </c>
      <c r="P15" s="1567"/>
      <c r="Q15" s="2954">
        <f t="shared" si="1"/>
        <v>176.97916666666666</v>
      </c>
      <c r="R15" s="1547"/>
      <c r="S15" s="1544"/>
      <c r="U15" s="3248">
        <f>IF(Q15&lt;&gt;0,K15/Q15-1,0)</f>
        <v>-9.9329642111183336E-3</v>
      </c>
    </row>
    <row r="16" spans="1:21">
      <c r="A16" s="1547"/>
      <c r="B16" s="1559" t="s">
        <v>408</v>
      </c>
      <c r="C16" s="1565">
        <f>'נתונים לנספח 4 לטופס 2 חלק א'!$B$12</f>
        <v>1</v>
      </c>
      <c r="D16" s="1562"/>
      <c r="E16" s="1563">
        <f>'נתונים לנספח 4 לטופס 2 חלק א'!$C$12</f>
        <v>14</v>
      </c>
      <c r="F16" s="1571"/>
      <c r="G16" s="1565">
        <f>'נתונים לנספח 4 לטופס 2 חלק א'!$D$12</f>
        <v>14</v>
      </c>
      <c r="H16" s="1571"/>
      <c r="I16" s="2712">
        <f>'נתונים לנספח 4 לטופס 2 חלק א'!$G$12</f>
        <v>7010</v>
      </c>
      <c r="J16" s="1567"/>
      <c r="K16" s="1565">
        <f t="shared" si="0"/>
        <v>500.71428571428572</v>
      </c>
      <c r="L16" s="1568"/>
      <c r="M16" s="1565">
        <f>'נתונים לנספח 4 לטופס 2 חלק א'!$I$12</f>
        <v>13</v>
      </c>
      <c r="N16" s="1567"/>
      <c r="O16" s="2712">
        <f>'נתונים לנספח 4 לטופס 2 חלק א'!$L$12</f>
        <v>6498</v>
      </c>
      <c r="P16" s="1567"/>
      <c r="Q16" s="1569">
        <f t="shared" si="1"/>
        <v>499.84615384615387</v>
      </c>
      <c r="R16" s="1547"/>
      <c r="S16" s="1544"/>
    </row>
    <row r="17" spans="1:21">
      <c r="A17" s="1547"/>
      <c r="B17" s="1559" t="s">
        <v>409</v>
      </c>
      <c r="C17" s="1570">
        <f>'נתונים לנספח 4 לטופס 2 חלק א'!$B$13</f>
        <v>0</v>
      </c>
      <c r="D17" s="1562"/>
      <c r="E17" s="1570">
        <f>'נתונים לנספח 4 לטופס 2 חלק א'!$C$13</f>
        <v>0</v>
      </c>
      <c r="F17" s="1571"/>
      <c r="G17" s="1570">
        <f>'נתונים לנספח 4 לטופס 2 חלק א'!$D$13</f>
        <v>0</v>
      </c>
      <c r="H17" s="1571"/>
      <c r="I17" s="1577">
        <f>'נתונים לנספח 4 לטופס 2 חלק א'!$G$13</f>
        <v>0</v>
      </c>
      <c r="J17" s="1567"/>
      <c r="K17" s="1570">
        <f t="shared" si="0"/>
        <v>0</v>
      </c>
      <c r="L17" s="1568"/>
      <c r="M17" s="1570">
        <f>'נתונים לנספח 4 לטופס 2 חלק א'!$I$13</f>
        <v>0</v>
      </c>
      <c r="N17" s="1567"/>
      <c r="O17" s="1577">
        <f>'נתונים לנספח 4 לטופס 2 חלק א'!$L$13</f>
        <v>0</v>
      </c>
      <c r="P17" s="1567"/>
      <c r="Q17" s="1569">
        <f t="shared" si="1"/>
        <v>0</v>
      </c>
      <c r="R17" s="1547"/>
      <c r="S17" s="1544"/>
    </row>
    <row r="18" spans="1:21">
      <c r="A18" s="1547"/>
      <c r="B18" s="2765" t="s">
        <v>410</v>
      </c>
      <c r="C18" s="1578">
        <f>'נתונים לנספח 4 לטופס 2 חלק א'!$B$14</f>
        <v>1</v>
      </c>
      <c r="D18" s="1562"/>
      <c r="E18" s="1578">
        <f>'נתונים לנספח 4 לטופס 2 חלק א'!$C$14</f>
        <v>14</v>
      </c>
      <c r="F18" s="1564"/>
      <c r="G18" s="2510">
        <f>'נתונים לנספח 4 לטופס 2 חלק א'!$D$14</f>
        <v>14</v>
      </c>
      <c r="H18" s="1564"/>
      <c r="I18" s="1580">
        <f>'נתונים לנספח 4 לטופס 2 חלק א'!$G$14</f>
        <v>7010</v>
      </c>
      <c r="J18" s="1567"/>
      <c r="K18" s="2952">
        <f t="shared" si="0"/>
        <v>500.71428571428572</v>
      </c>
      <c r="L18" s="1568"/>
      <c r="M18" s="2510">
        <f>'נתונים לנספח 4 לטופס 2 חלק א'!$I$14</f>
        <v>13</v>
      </c>
      <c r="N18" s="1567"/>
      <c r="O18" s="1580">
        <f>'נתונים לנספח 4 לטופס 2 חלק א'!$L$14</f>
        <v>6498</v>
      </c>
      <c r="P18" s="1567"/>
      <c r="Q18" s="2954">
        <f t="shared" si="1"/>
        <v>499.84615384615387</v>
      </c>
      <c r="R18" s="1547"/>
      <c r="S18" s="1544"/>
      <c r="U18" s="3248">
        <f>IF(Q18&lt;&gt;0,K18/Q18-1,0)</f>
        <v>1.7367981356901652E-3</v>
      </c>
    </row>
    <row r="19" spans="1:21">
      <c r="A19" s="1547"/>
      <c r="B19" s="1559" t="s">
        <v>411</v>
      </c>
      <c r="C19" s="1565">
        <f>'נתונים לנספח 4 לטופס 2 חלק א'!$B$15</f>
        <v>2.87</v>
      </c>
      <c r="D19" s="1562"/>
      <c r="E19" s="1563">
        <f>'נתונים לנספח 4 לטופס 2 חלק א'!$C$15</f>
        <v>559.44000000000005</v>
      </c>
      <c r="F19" s="1571"/>
      <c r="G19" s="1565">
        <f>'נתונים לנספח 4 לטופס 2 חלק א'!$D$15</f>
        <v>536.07000000000005</v>
      </c>
      <c r="H19" s="1571"/>
      <c r="I19" s="2712">
        <f>'נתונים לנספח 4 לטופס 2 חלק א'!$G$15</f>
        <v>94491</v>
      </c>
      <c r="J19" s="1567"/>
      <c r="K19" s="1570">
        <f t="shared" si="0"/>
        <v>176.26615927024454</v>
      </c>
      <c r="L19" s="1568"/>
      <c r="M19" s="1565">
        <f>'נתונים לנספח 4 לטופס 2 חלק א'!$I$15</f>
        <v>523</v>
      </c>
      <c r="N19" s="1567"/>
      <c r="O19" s="2712">
        <f>'נתונים לנספח 4 לטופס 2 חלק א'!$L$15</f>
        <v>88244</v>
      </c>
      <c r="P19" s="1567"/>
      <c r="Q19" s="1569">
        <f t="shared" si="1"/>
        <v>168.72657743785851</v>
      </c>
      <c r="R19" s="1547"/>
      <c r="S19" s="1544"/>
    </row>
    <row r="20" spans="1:21">
      <c r="A20" s="1547"/>
      <c r="B20" s="1559" t="s">
        <v>412</v>
      </c>
      <c r="C20" s="1570">
        <f>'נתונים לנספח 4 לטופס 2 חלק א'!$B$16</f>
        <v>0</v>
      </c>
      <c r="D20" s="1562"/>
      <c r="E20" s="1570">
        <f>'נתונים לנספח 4 לטופס 2 חלק א'!$C$16</f>
        <v>0</v>
      </c>
      <c r="F20" s="1571"/>
      <c r="G20" s="1570">
        <f>'נתונים לנספח 4 לטופס 2 חלק א'!$D$16</f>
        <v>0</v>
      </c>
      <c r="H20" s="1571"/>
      <c r="I20" s="1577">
        <f>'נתונים לנספח 4 לטופס 2 חלק א'!$G$16</f>
        <v>0</v>
      </c>
      <c r="J20" s="1567"/>
      <c r="K20" s="1570">
        <f t="shared" si="0"/>
        <v>0</v>
      </c>
      <c r="L20" s="1568"/>
      <c r="M20" s="1570">
        <f>'נתונים לנספח 4 לטופס 2 חלק א'!$I$16</f>
        <v>0</v>
      </c>
      <c r="N20" s="1567"/>
      <c r="O20" s="1577">
        <f>'נתונים לנספח 4 לטופס 2 חלק א'!$L$16</f>
        <v>0</v>
      </c>
      <c r="P20" s="1567"/>
      <c r="Q20" s="1569">
        <f t="shared" si="1"/>
        <v>0</v>
      </c>
      <c r="R20" s="1547"/>
      <c r="S20" s="1544"/>
    </row>
    <row r="21" spans="1:21">
      <c r="A21" s="1547"/>
      <c r="B21" s="2765" t="s">
        <v>413</v>
      </c>
      <c r="C21" s="1578">
        <f>'נתונים לנספח 4 לטופס 2 חלק א'!$B$17</f>
        <v>2.87</v>
      </c>
      <c r="D21" s="1562"/>
      <c r="E21" s="1578">
        <f>'נתונים לנספח 4 לטופס 2 חלק א'!$C$17</f>
        <v>559.44000000000005</v>
      </c>
      <c r="F21" s="1564"/>
      <c r="G21" s="2510">
        <f>'נתונים לנספח 4 לטופס 2 חלק א'!$D$17</f>
        <v>536.07000000000005</v>
      </c>
      <c r="H21" s="1564"/>
      <c r="I21" s="1580">
        <f>'נתונים לנספח 4 לטופס 2 חלק א'!$G$17</f>
        <v>94491</v>
      </c>
      <c r="J21" s="1567"/>
      <c r="K21" s="2952">
        <f>IF(G21&lt;&gt;0,I21/G21,0)</f>
        <v>176.26615927024454</v>
      </c>
      <c r="L21" s="1568"/>
      <c r="M21" s="2510">
        <f>'נתונים לנספח 4 לטופס 2 חלק א'!$I$17</f>
        <v>523</v>
      </c>
      <c r="N21" s="1567"/>
      <c r="O21" s="1580">
        <f>'נתונים לנספח 4 לטופס 2 חלק א'!$L$17</f>
        <v>88244</v>
      </c>
      <c r="P21" s="1567"/>
      <c r="Q21" s="2954">
        <f>IF(M21&lt;&gt;0,O21/M21,0)</f>
        <v>168.72657743785851</v>
      </c>
      <c r="R21" s="1547"/>
      <c r="S21" s="1544"/>
      <c r="U21" s="3248">
        <f>IF(Q21&lt;&gt;0,K21/Q21-1,0)</f>
        <v>4.4685205774193104E-2</v>
      </c>
    </row>
    <row r="22" spans="1:21" ht="3.75" customHeight="1">
      <c r="A22" s="1547"/>
      <c r="B22" s="1559"/>
      <c r="C22" s="1547"/>
      <c r="D22" s="1562"/>
      <c r="E22" s="1547"/>
      <c r="F22" s="1547"/>
      <c r="G22" s="1547"/>
      <c r="H22" s="1547"/>
      <c r="I22" s="1547"/>
      <c r="J22" s="1547"/>
      <c r="K22" s="1547"/>
      <c r="L22" s="1547"/>
      <c r="M22" s="1547"/>
      <c r="N22" s="1567"/>
      <c r="O22" s="1547"/>
      <c r="P22" s="1567"/>
      <c r="Q22" s="1561"/>
      <c r="R22" s="1547"/>
      <c r="S22" s="1544"/>
    </row>
    <row r="23" spans="1:21">
      <c r="A23" s="1547"/>
      <c r="B23" s="2765" t="s">
        <v>594</v>
      </c>
      <c r="C23" s="1578">
        <f>'נתונים לנספח 4 לטופס 2 חלק א'!$B$19</f>
        <v>3.87</v>
      </c>
      <c r="D23" s="1562"/>
      <c r="E23" s="1578">
        <f>'נתונים לנספח 4 לטופס 2 חלק א'!$C$19</f>
        <v>573.44000000000005</v>
      </c>
      <c r="F23" s="1567"/>
      <c r="G23" s="1579">
        <f>'נתונים לנספח 4 לטופס 2 חלק א'!$D$19</f>
        <v>550.07000000000005</v>
      </c>
      <c r="H23" s="1567"/>
      <c r="I23" s="1580">
        <f>'נתונים לנספח 4 לטופס 2 חלק א'!$G$19</f>
        <v>101501</v>
      </c>
      <c r="J23" s="1567"/>
      <c r="K23" s="1570">
        <f>IF(G23&lt;&gt;0,I23/G23,0)</f>
        <v>184.52378788154232</v>
      </c>
      <c r="L23" s="1568"/>
      <c r="M23" s="1579">
        <f>'נתונים לנספח 4 לטופס 2 חלק א'!$I$19</f>
        <v>536</v>
      </c>
      <c r="N23" s="1567"/>
      <c r="O23" s="1580">
        <f>'נתונים לנספח 4 לטופס 2 חלק א'!$L$19</f>
        <v>94742</v>
      </c>
      <c r="P23" s="1567"/>
      <c r="Q23" s="2954">
        <f>IF(M23&lt;&gt;0,O23/M23,0)</f>
        <v>176.75746268656715</v>
      </c>
      <c r="R23" s="1547"/>
      <c r="S23" s="1544"/>
    </row>
    <row r="24" spans="1:21" ht="13.5" customHeight="1">
      <c r="A24" s="1547"/>
      <c r="B24" s="1559" t="str">
        <f>'נתונים לנספח 4 לטופס 2 חלק א'!$A$20</f>
        <v>(***) עם תקן</v>
      </c>
      <c r="C24" s="1565">
        <f>'נתונים לנספח 4 לטופס 2 חלק א'!$B$20</f>
        <v>0</v>
      </c>
      <c r="D24" s="1562"/>
      <c r="E24" s="1565">
        <f>'נתונים לנספח 4 לטופס 2 חלק א'!$C$20</f>
        <v>0</v>
      </c>
      <c r="F24" s="1571"/>
      <c r="G24" s="1565">
        <f>'נתונים לנספח 4 לטופס 2 חלק א'!$D$20</f>
        <v>0</v>
      </c>
      <c r="H24" s="1571"/>
      <c r="I24" s="2712">
        <f>'נתונים לנספח 4 לטופס 2 חלק א'!$G$20</f>
        <v>0</v>
      </c>
      <c r="J24" s="1567"/>
      <c r="K24" s="1565">
        <f t="shared" si="0"/>
        <v>0</v>
      </c>
      <c r="L24" s="1568"/>
      <c r="M24" s="1565">
        <f>'נתונים לנספח 4 לטופס 2 חלק א'!$I$20</f>
        <v>0</v>
      </c>
      <c r="N24" s="1567"/>
      <c r="O24" s="2712">
        <f>'נתונים לנספח 4 לטופס 2 חלק א'!$L$20</f>
        <v>0</v>
      </c>
      <c r="P24" s="1567"/>
      <c r="Q24" s="1569">
        <f t="shared" si="1"/>
        <v>0</v>
      </c>
      <c r="R24" s="1547"/>
      <c r="S24" s="1544"/>
    </row>
    <row r="25" spans="1:21" ht="13.5" customHeight="1">
      <c r="A25" s="1547"/>
      <c r="B25" s="1559" t="str">
        <f>'נתונים לנספח 4 לטופס 2 חלק א'!$A$21</f>
        <v>(***) ללא תקן</v>
      </c>
      <c r="C25" s="1570">
        <f>'נתונים לנספח 4 לטופס 2 חלק א'!$B$21</f>
        <v>0</v>
      </c>
      <c r="D25" s="1562"/>
      <c r="E25" s="1570">
        <f>'נתונים לנספח 4 לטופס 2 חלק א'!$C$21</f>
        <v>0</v>
      </c>
      <c r="F25" s="1571"/>
      <c r="G25" s="1570">
        <f>'נתונים לנספח 4 לטופס 2 חלק א'!$D$21</f>
        <v>0</v>
      </c>
      <c r="H25" s="1571"/>
      <c r="I25" s="1577">
        <f>'נתונים לנספח 4 לטופס 2 חלק א'!$G$21</f>
        <v>0</v>
      </c>
      <c r="J25" s="1567"/>
      <c r="K25" s="1570">
        <f t="shared" si="0"/>
        <v>0</v>
      </c>
      <c r="L25" s="1568"/>
      <c r="M25" s="1570">
        <f>'נתונים לנספח 4 לטופס 2 חלק א'!$I$21</f>
        <v>0</v>
      </c>
      <c r="N25" s="1567"/>
      <c r="O25" s="1577">
        <f>'נתונים לנספח 4 לטופס 2 חלק א'!$L$21</f>
        <v>0</v>
      </c>
      <c r="P25" s="1567"/>
      <c r="Q25" s="1569">
        <f t="shared" si="1"/>
        <v>0</v>
      </c>
      <c r="R25" s="1547"/>
      <c r="S25" s="1544"/>
    </row>
    <row r="26" spans="1:21" ht="13.5" customHeight="1">
      <c r="A26" s="1547"/>
      <c r="B26" s="2765" t="str">
        <f>'נתונים לנספח 4 לטופס 2 חלק א'!$A$22</f>
        <v>סה"כ (***)</v>
      </c>
      <c r="C26" s="1578">
        <f>'נתונים לנספח 4 לטופס 2 חלק א'!$B$22</f>
        <v>0</v>
      </c>
      <c r="D26" s="1562"/>
      <c r="E26" s="1578">
        <f>'נתונים לנספח 4 לטופס 2 חלק א'!$C$22</f>
        <v>0</v>
      </c>
      <c r="F26" s="1564"/>
      <c r="G26" s="2510">
        <f>'נתונים לנספח 4 לטופס 2 חלק א'!$D$22</f>
        <v>0</v>
      </c>
      <c r="H26" s="1564"/>
      <c r="I26" s="1580">
        <f>'נתונים לנספח 4 לטופס 2 חלק א'!$G$22</f>
        <v>0</v>
      </c>
      <c r="J26" s="1567"/>
      <c r="K26" s="2952">
        <f t="shared" si="0"/>
        <v>0</v>
      </c>
      <c r="L26" s="1568"/>
      <c r="M26" s="2510">
        <f>'נתונים לנספח 4 לטופס 2 חלק א'!$I$22</f>
        <v>0</v>
      </c>
      <c r="N26" s="1567"/>
      <c r="O26" s="1580">
        <f>'נתונים לנספח 4 לטופס 2 חלק א'!$L$22</f>
        <v>0</v>
      </c>
      <c r="P26" s="1567"/>
      <c r="Q26" s="2954">
        <f t="shared" si="1"/>
        <v>0</v>
      </c>
      <c r="R26" s="1547"/>
      <c r="S26" s="1544"/>
    </row>
    <row r="27" spans="1:21" ht="3.75" customHeight="1">
      <c r="A27" s="1547"/>
      <c r="B27" s="1559"/>
      <c r="C27" s="1547"/>
      <c r="D27" s="1562"/>
      <c r="E27" s="1547"/>
      <c r="F27" s="1547"/>
      <c r="G27" s="1547"/>
      <c r="H27" s="1547"/>
      <c r="I27" s="1547"/>
      <c r="J27" s="1547"/>
      <c r="K27" s="1547"/>
      <c r="L27" s="1547"/>
      <c r="M27" s="1547"/>
      <c r="N27" s="1567"/>
      <c r="O27" s="1547"/>
      <c r="P27" s="1567"/>
      <c r="Q27" s="1561"/>
      <c r="R27" s="1547"/>
      <c r="S27" s="1544"/>
    </row>
    <row r="28" spans="1:21">
      <c r="A28" s="1547"/>
      <c r="B28" s="2765" t="s">
        <v>782</v>
      </c>
      <c r="C28" s="1578">
        <f>C12+C15+C23+C26</f>
        <v>803.89</v>
      </c>
      <c r="D28" s="1562"/>
      <c r="E28" s="1578">
        <f>E12+E15+E23+E26</f>
        <v>1632.18</v>
      </c>
      <c r="F28" s="1567"/>
      <c r="G28" s="1579">
        <f>G12+G15+G23+G26</f>
        <v>1597.9900000000002</v>
      </c>
      <c r="H28" s="1567"/>
      <c r="I28" s="1580">
        <f>I12+I15+I23+I26</f>
        <v>267114</v>
      </c>
      <c r="J28" s="1567"/>
      <c r="K28" s="1570">
        <f t="shared" ref="K28:K36" si="2">IF(G28&lt;&gt;0,I28/G28,0)</f>
        <v>167.15624002653331</v>
      </c>
      <c r="L28" s="1568"/>
      <c r="M28" s="1579">
        <f>M12+M15+M23+M26</f>
        <v>1518</v>
      </c>
      <c r="N28" s="1567"/>
      <c r="O28" s="1580">
        <f>O12+O15+O23+O26</f>
        <v>254009</v>
      </c>
      <c r="P28" s="1567"/>
      <c r="Q28" s="2954">
        <f t="shared" si="1"/>
        <v>167.33135704874834</v>
      </c>
      <c r="R28" s="1547"/>
      <c r="S28" s="1544"/>
    </row>
    <row r="29" spans="1:21">
      <c r="A29" s="1547"/>
      <c r="B29" s="1559" t="s">
        <v>967</v>
      </c>
      <c r="C29" s="1560"/>
      <c r="D29" s="1562"/>
      <c r="E29" s="1563">
        <f>'נתונים לנספח 4 לטופס 2 חלק א'!$C$25</f>
        <v>0</v>
      </c>
      <c r="F29" s="1567"/>
      <c r="G29" s="1565">
        <f>'נתונים לנספח 4 לטופס 2 חלק א'!$D$25</f>
        <v>3</v>
      </c>
      <c r="H29" s="1567"/>
      <c r="I29" s="1566">
        <f>'נתונים לנספח 4 לטופס 2 חלק א'!$G$25</f>
        <v>2045</v>
      </c>
      <c r="J29" s="1567"/>
      <c r="K29" s="1570">
        <f t="shared" si="2"/>
        <v>681.66666666666663</v>
      </c>
      <c r="L29" s="1568"/>
      <c r="M29" s="1565">
        <f>'נתונים לנספח 4 לטופס 2 חלק א'!$I$25</f>
        <v>3</v>
      </c>
      <c r="N29" s="1567"/>
      <c r="O29" s="1566">
        <f>'נתונים לנספח 4 לטופס 2 חלק א'!$L$25</f>
        <v>1957</v>
      </c>
      <c r="P29" s="1567"/>
      <c r="Q29" s="1569">
        <f t="shared" si="1"/>
        <v>652.33333333333337</v>
      </c>
      <c r="R29" s="1547"/>
      <c r="S29" s="1544"/>
      <c r="U29" s="3248">
        <f>IF(Q29&lt;&gt;0,K29/Q29-1,0)</f>
        <v>4.4966785896780603E-2</v>
      </c>
    </row>
    <row r="30" spans="1:21">
      <c r="A30" s="1547"/>
      <c r="B30" s="1559" t="s">
        <v>968</v>
      </c>
      <c r="C30" s="1560"/>
      <c r="D30" s="1562"/>
      <c r="E30" s="1581">
        <f>'נתונים לנספח 4 לטופס 2 חלק א'!$C$26</f>
        <v>0</v>
      </c>
      <c r="F30" s="1567"/>
      <c r="G30" s="1572">
        <f>'נתונים לנספח 4 לטופס 2 חלק א'!$D$26</f>
        <v>338.32</v>
      </c>
      <c r="H30" s="1567"/>
      <c r="I30" s="1577">
        <f>'נתונים לנספח 4 לטופס 2 חלק א'!$G$26</f>
        <v>45198</v>
      </c>
      <c r="J30" s="1567"/>
      <c r="K30" s="1570">
        <f t="shared" si="2"/>
        <v>133.5954126270986</v>
      </c>
      <c r="L30" s="1568"/>
      <c r="M30" s="1572">
        <f>'נתונים לנספח 4 לטופס 2 חלק א'!$I$26</f>
        <v>323</v>
      </c>
      <c r="N30" s="1567"/>
      <c r="O30" s="1577">
        <f>'נתונים לנספח 4 לטופס 2 חלק א'!$L$26</f>
        <v>43339</v>
      </c>
      <c r="P30" s="1567"/>
      <c r="Q30" s="1573">
        <f t="shared" si="1"/>
        <v>134.1764705882353</v>
      </c>
      <c r="R30" s="1547"/>
      <c r="S30" s="1544"/>
      <c r="U30" s="3248">
        <f>IF(Q30&lt;&gt;0,K30/Q30-1,0)</f>
        <v>-4.3305503460430161E-3</v>
      </c>
    </row>
    <row r="31" spans="1:21">
      <c r="A31" s="1547"/>
      <c r="B31" s="1559" t="s">
        <v>1362</v>
      </c>
      <c r="C31" s="1560"/>
      <c r="D31" s="1562"/>
      <c r="E31" s="1582">
        <f>'נתונים לנספח 4 לטופס 2 חלק א'!$C$27</f>
        <v>0</v>
      </c>
      <c r="F31" s="1567"/>
      <c r="G31" s="1576">
        <f>'נתונים לנספח 4 לטופס 2 חלק א'!$D$27</f>
        <v>0</v>
      </c>
      <c r="H31" s="1567"/>
      <c r="I31" s="1577">
        <f>'נתונים לנספח 4 לטופס 2 חלק א'!$G$27</f>
        <v>0</v>
      </c>
      <c r="J31" s="1567"/>
      <c r="K31" s="1570">
        <f>IF(G31&lt;&gt;0,I31/G31,0)</f>
        <v>0</v>
      </c>
      <c r="L31" s="1568"/>
      <c r="M31" s="1576">
        <f>'נתונים לנספח 4 לטופס 2 חלק א'!$I$27</f>
        <v>0</v>
      </c>
      <c r="N31" s="1567"/>
      <c r="O31" s="1577">
        <f>'נתונים לנספח 4 לטופס 2 חלק א'!$L$27</f>
        <v>0</v>
      </c>
      <c r="P31" s="1567"/>
      <c r="Q31" s="1584">
        <f>IF(M31&lt;&gt;0,O31/M31,0)</f>
        <v>0</v>
      </c>
      <c r="R31" s="1547"/>
      <c r="S31" s="1544"/>
    </row>
    <row r="32" spans="1:21">
      <c r="A32" s="1547"/>
      <c r="B32" s="1559" t="s">
        <v>1363</v>
      </c>
      <c r="C32" s="1560"/>
      <c r="D32" s="1562"/>
      <c r="E32" s="1582">
        <f>'נתונים לנספח 4 לטופס 2 חלק א'!$C$28</f>
        <v>0</v>
      </c>
      <c r="F32" s="1567"/>
      <c r="G32" s="1576">
        <f>'נתונים לנספח 4 לטופס 2 חלק א'!$D$28</f>
        <v>0</v>
      </c>
      <c r="H32" s="1567"/>
      <c r="I32" s="1577">
        <f>'נתונים לנספח 4 לטופס 2 חלק א'!$G$28</f>
        <v>5545</v>
      </c>
      <c r="J32" s="1567"/>
      <c r="K32" s="1570">
        <f t="shared" si="2"/>
        <v>0</v>
      </c>
      <c r="L32" s="1568"/>
      <c r="M32" s="1576">
        <f>'נתונים לנספח 4 לטופס 2 חלק א'!$I$28</f>
        <v>0</v>
      </c>
      <c r="N32" s="1567"/>
      <c r="O32" s="1577">
        <f>'נתונים לנספח 4 לטופס 2 חלק א'!$L$28</f>
        <v>4466</v>
      </c>
      <c r="P32" s="1567"/>
      <c r="Q32" s="1584">
        <f t="shared" si="1"/>
        <v>0</v>
      </c>
      <c r="R32" s="1547"/>
      <c r="S32" s="1544"/>
    </row>
    <row r="33" spans="1:19">
      <c r="A33" s="1547"/>
      <c r="B33" s="1574" t="str">
        <f>'נתונים לנספח 4 לטופס 2 חלק א'!$A$29</f>
        <v>(***)</v>
      </c>
      <c r="C33" s="1560"/>
      <c r="D33" s="1562"/>
      <c r="E33" s="1582">
        <f>'נתונים לנספח 4 לטופס 2 חלק א'!$C$29</f>
        <v>0</v>
      </c>
      <c r="F33" s="1567"/>
      <c r="G33" s="1576">
        <f>'נתונים לנספח 4 לטופס 2 חלק א'!$D$29</f>
        <v>0</v>
      </c>
      <c r="H33" s="1567"/>
      <c r="I33" s="1583">
        <f>'נתונים לנספח 4 לטופס 2 חלק א'!$G$29</f>
        <v>0</v>
      </c>
      <c r="J33" s="1567"/>
      <c r="K33" s="1575">
        <f t="shared" si="2"/>
        <v>0</v>
      </c>
      <c r="L33" s="1568"/>
      <c r="M33" s="1576">
        <f>'נתונים לנספח 4 לטופס 2 חלק א'!$I$29</f>
        <v>0</v>
      </c>
      <c r="N33" s="1567"/>
      <c r="O33" s="1583">
        <f>'נתונים לנספח 4 לטופס 2 חלק א'!$L$29</f>
        <v>0</v>
      </c>
      <c r="P33" s="1567"/>
      <c r="Q33" s="1584">
        <f t="shared" si="1"/>
        <v>0</v>
      </c>
      <c r="R33" s="1547"/>
      <c r="S33" s="1544"/>
    </row>
    <row r="34" spans="1:19">
      <c r="A34" s="1547"/>
      <c r="B34" s="2765" t="s">
        <v>733</v>
      </c>
      <c r="C34" s="1560"/>
      <c r="D34" s="1562"/>
      <c r="E34" s="1578">
        <f>E28+E29+E30+E31+E32+E33</f>
        <v>1632.18</v>
      </c>
      <c r="F34" s="1567"/>
      <c r="G34" s="1579">
        <f>G28+G29+G30+G31+G32+G33</f>
        <v>1939.3100000000002</v>
      </c>
      <c r="H34" s="1567"/>
      <c r="I34" s="1580">
        <f>I28+I29+I30+I31+I32+I33</f>
        <v>319902</v>
      </c>
      <c r="J34" s="1567"/>
      <c r="K34" s="2952">
        <f t="shared" si="2"/>
        <v>164.95660827820203</v>
      </c>
      <c r="L34" s="1568"/>
      <c r="M34" s="1579">
        <f>M28+M29+M30+M31+M32+M33</f>
        <v>1844</v>
      </c>
      <c r="N34" s="1567"/>
      <c r="O34" s="1580">
        <f>O28+O29+O30+O31+O32+O33</f>
        <v>303771</v>
      </c>
      <c r="P34" s="1567"/>
      <c r="Q34" s="2954">
        <f t="shared" si="1"/>
        <v>164.73481561822126</v>
      </c>
      <c r="R34" s="1547"/>
      <c r="S34" s="1544"/>
    </row>
    <row r="35" spans="1:19" ht="26.4">
      <c r="A35" s="1547"/>
      <c r="B35" s="2105" t="s">
        <v>734</v>
      </c>
      <c r="C35" s="1560"/>
      <c r="D35" s="1562"/>
      <c r="E35" s="1563">
        <f>'נתונים לנספח 4 לטופס 2 חלק א'!$C$31</f>
        <v>0</v>
      </c>
      <c r="F35" s="1567"/>
      <c r="G35" s="1565">
        <f>'נתונים לנספח 4 לטופס 2 חלק א'!$D$31</f>
        <v>0</v>
      </c>
      <c r="H35" s="1567"/>
      <c r="I35" s="1566">
        <f>'נתונים לנספח 4 לטופס 2 חלק א'!$G$31</f>
        <v>0</v>
      </c>
      <c r="J35" s="1567"/>
      <c r="K35" s="1565">
        <f t="shared" si="2"/>
        <v>0</v>
      </c>
      <c r="L35" s="1568"/>
      <c r="M35" s="1565">
        <f>'נתונים לנספח 4 לטופס 2 חלק א'!$I$31</f>
        <v>0</v>
      </c>
      <c r="N35" s="1567"/>
      <c r="O35" s="1566">
        <f>'נתונים לנספח 4 לטופס 2 חלק א'!$L$31</f>
        <v>0</v>
      </c>
      <c r="P35" s="1567"/>
      <c r="Q35" s="1569">
        <f t="shared" si="1"/>
        <v>0</v>
      </c>
      <c r="R35" s="1547"/>
      <c r="S35" s="1544"/>
    </row>
    <row r="36" spans="1:19" s="1593" customFormat="1" ht="13.8" thickBot="1">
      <c r="A36" s="1585"/>
      <c r="B36" s="1586" t="s">
        <v>481</v>
      </c>
      <c r="C36" s="1560"/>
      <c r="D36" s="1562"/>
      <c r="E36" s="1587">
        <f>E35+E34</f>
        <v>1632.18</v>
      </c>
      <c r="F36" s="1588"/>
      <c r="G36" s="1589">
        <f>G35+G34</f>
        <v>1939.3100000000002</v>
      </c>
      <c r="H36" s="1588"/>
      <c r="I36" s="1590">
        <f>I35+I34</f>
        <v>319902</v>
      </c>
      <c r="J36" s="1588"/>
      <c r="K36" s="2953">
        <f t="shared" si="2"/>
        <v>164.95660827820203</v>
      </c>
      <c r="L36" s="1591"/>
      <c r="M36" s="1589">
        <f>M35+M34</f>
        <v>1844</v>
      </c>
      <c r="N36" s="1588"/>
      <c r="O36" s="1590">
        <f>O35+O34</f>
        <v>303771</v>
      </c>
      <c r="P36" s="1588"/>
      <c r="Q36" s="2955">
        <f t="shared" si="1"/>
        <v>164.73481561822126</v>
      </c>
      <c r="R36" s="1547"/>
      <c r="S36" s="1592"/>
    </row>
    <row r="37" spans="1:19" ht="13.8" thickTop="1">
      <c r="A37" s="1547"/>
      <c r="B37" s="1594"/>
      <c r="C37" s="1595"/>
      <c r="D37" s="1595"/>
      <c r="E37" s="1595"/>
      <c r="F37" s="1595"/>
      <c r="G37" s="1595"/>
      <c r="H37" s="1595"/>
      <c r="I37" s="1595"/>
      <c r="J37" s="1595"/>
      <c r="K37" s="1595"/>
      <c r="L37" s="1595"/>
      <c r="M37" s="1595"/>
      <c r="N37" s="1595"/>
      <c r="O37" s="1595"/>
      <c r="P37" s="1595"/>
      <c r="Q37" s="1596"/>
      <c r="R37" s="1547"/>
      <c r="S37" s="1544"/>
    </row>
    <row r="38" spans="1:19">
      <c r="A38" s="1547"/>
      <c r="B38" s="1547"/>
      <c r="C38" s="1547"/>
      <c r="D38" s="1547"/>
      <c r="E38" s="1547"/>
      <c r="F38" s="1547"/>
      <c r="G38" s="1547"/>
      <c r="H38" s="1547"/>
      <c r="I38" s="1547"/>
      <c r="J38" s="1547"/>
      <c r="K38" s="1547"/>
      <c r="L38" s="1547"/>
      <c r="M38" s="1547"/>
      <c r="N38" s="1547"/>
      <c r="O38" s="1547"/>
      <c r="P38" s="1547"/>
      <c r="Q38" s="1547"/>
      <c r="R38" s="1547"/>
      <c r="S38" s="1544"/>
    </row>
    <row r="39" spans="1:19" ht="18" customHeight="1">
      <c r="A39" s="1547"/>
      <c r="B39" s="1585" t="s">
        <v>804</v>
      </c>
      <c r="C39" s="1547"/>
      <c r="D39" s="1547"/>
      <c r="E39" s="1547"/>
      <c r="F39" s="1547"/>
      <c r="G39" s="1547"/>
      <c r="H39" s="1547"/>
      <c r="I39" s="1547"/>
      <c r="J39" s="1547"/>
      <c r="K39" s="1547"/>
      <c r="L39" s="1547"/>
      <c r="M39" s="1547"/>
      <c r="N39" s="1547"/>
      <c r="O39" s="1547"/>
      <c r="P39" s="1547"/>
      <c r="Q39" s="1547"/>
      <c r="R39" s="1547"/>
      <c r="S39" s="1544"/>
    </row>
    <row r="40" spans="1:19">
      <c r="A40" s="1547"/>
      <c r="B40" s="1597"/>
      <c r="C40" s="1597"/>
      <c r="D40" s="1597"/>
      <c r="E40" s="1597"/>
      <c r="F40" s="1597"/>
      <c r="G40" s="1597"/>
      <c r="H40" s="1597"/>
      <c r="I40" s="1597"/>
      <c r="J40" s="1597"/>
      <c r="K40" s="1597"/>
      <c r="L40" s="1597"/>
      <c r="M40" s="1597"/>
      <c r="N40" s="1597"/>
      <c r="O40" s="1597"/>
      <c r="P40" s="1597"/>
      <c r="Q40" s="1597"/>
      <c r="R40" s="1547"/>
      <c r="S40" s="1544"/>
    </row>
    <row r="41" spans="1:19">
      <c r="A41" s="1547"/>
      <c r="B41" s="1597"/>
      <c r="C41" s="1597"/>
      <c r="D41" s="1597"/>
      <c r="E41" s="1597"/>
      <c r="F41" s="1597"/>
      <c r="G41" s="1597"/>
      <c r="H41" s="1597"/>
      <c r="I41" s="1597"/>
      <c r="J41" s="1597"/>
      <c r="K41" s="1597"/>
      <c r="L41" s="1597"/>
      <c r="M41" s="1597"/>
      <c r="N41" s="1597"/>
      <c r="O41" s="1597"/>
      <c r="P41" s="1597"/>
      <c r="Q41" s="1597"/>
      <c r="R41" s="1547"/>
      <c r="S41" s="1544"/>
    </row>
    <row r="42" spans="1:19">
      <c r="A42" s="1547"/>
      <c r="B42" s="1597"/>
      <c r="C42" s="1597"/>
      <c r="D42" s="1597"/>
      <c r="E42" s="1597"/>
      <c r="F42" s="1597"/>
      <c r="G42" s="1597"/>
      <c r="H42" s="1597"/>
      <c r="I42" s="1597"/>
      <c r="J42" s="1597"/>
      <c r="K42" s="1597"/>
      <c r="L42" s="1597"/>
      <c r="M42" s="1597"/>
      <c r="N42" s="1597"/>
      <c r="O42" s="1597"/>
      <c r="P42" s="1597"/>
      <c r="Q42" s="1597"/>
      <c r="R42" s="1547"/>
      <c r="S42" s="1544"/>
    </row>
    <row r="43" spans="1:19">
      <c r="A43" s="1547"/>
      <c r="B43" s="1597"/>
      <c r="C43" s="1597"/>
      <c r="D43" s="1597"/>
      <c r="E43" s="1597"/>
      <c r="F43" s="1597"/>
      <c r="G43" s="1597"/>
      <c r="H43" s="1597"/>
      <c r="I43" s="1597"/>
      <c r="J43" s="1597"/>
      <c r="K43" s="1597"/>
      <c r="L43" s="1597"/>
      <c r="M43" s="1597"/>
      <c r="N43" s="1597"/>
      <c r="O43" s="1597"/>
      <c r="P43" s="1597"/>
      <c r="Q43" s="1597"/>
      <c r="R43" s="1547"/>
      <c r="S43" s="1544"/>
    </row>
    <row r="44" spans="1:19">
      <c r="A44" s="1547"/>
      <c r="B44" s="1597"/>
      <c r="C44" s="1597"/>
      <c r="D44" s="1597"/>
      <c r="E44" s="1597"/>
      <c r="F44" s="1597"/>
      <c r="G44" s="1597"/>
      <c r="H44" s="1597"/>
      <c r="I44" s="1597"/>
      <c r="J44" s="1597"/>
      <c r="K44" s="1597"/>
      <c r="L44" s="1597"/>
      <c r="M44" s="1597"/>
      <c r="N44" s="1597"/>
      <c r="O44" s="1597"/>
      <c r="P44" s="1597"/>
      <c r="Q44" s="1597"/>
      <c r="R44" s="1547"/>
      <c r="S44" s="1544"/>
    </row>
    <row r="45" spans="1:19">
      <c r="A45" s="1547"/>
      <c r="B45" s="1597"/>
      <c r="C45" s="1597"/>
      <c r="D45" s="1597"/>
      <c r="E45" s="1597"/>
      <c r="F45" s="1597"/>
      <c r="G45" s="1597"/>
      <c r="H45" s="1597"/>
      <c r="I45" s="1597"/>
      <c r="J45" s="1597"/>
      <c r="K45" s="1597"/>
      <c r="L45" s="1597"/>
      <c r="M45" s="1597"/>
      <c r="N45" s="1597"/>
      <c r="O45" s="1597"/>
      <c r="P45" s="1597"/>
      <c r="Q45" s="1597"/>
      <c r="R45" s="1547"/>
      <c r="S45" s="1544"/>
    </row>
    <row r="46" spans="1:19">
      <c r="A46" s="1547"/>
      <c r="B46" s="1597"/>
      <c r="C46" s="1597"/>
      <c r="D46" s="1597"/>
      <c r="E46" s="1597"/>
      <c r="F46" s="1597"/>
      <c r="G46" s="1597"/>
      <c r="H46" s="1597"/>
      <c r="I46" s="1597"/>
      <c r="J46" s="1597"/>
      <c r="K46" s="1597"/>
      <c r="L46" s="1597"/>
      <c r="M46" s="1597"/>
      <c r="N46" s="1597"/>
      <c r="O46" s="1597"/>
      <c r="P46" s="1597"/>
      <c r="Q46" s="1597"/>
      <c r="R46" s="1547"/>
      <c r="S46" s="1544"/>
    </row>
    <row r="47" spans="1:19">
      <c r="A47" s="1547"/>
      <c r="B47" s="1597"/>
      <c r="C47" s="1597"/>
      <c r="D47" s="1597"/>
      <c r="E47" s="1597"/>
      <c r="F47" s="1597"/>
      <c r="G47" s="1597"/>
      <c r="H47" s="1597"/>
      <c r="I47" s="1597"/>
      <c r="J47" s="1597"/>
      <c r="K47" s="1597"/>
      <c r="L47" s="1597"/>
      <c r="M47" s="1597"/>
      <c r="N47" s="1597"/>
      <c r="O47" s="1597"/>
      <c r="P47" s="1597"/>
      <c r="Q47" s="1597"/>
      <c r="R47" s="1547"/>
      <c r="S47" s="1544"/>
    </row>
    <row r="48" spans="1:19">
      <c r="A48" s="1547"/>
      <c r="B48" s="1597"/>
      <c r="C48" s="1597"/>
      <c r="D48" s="1597"/>
      <c r="E48" s="1597"/>
      <c r="F48" s="1597"/>
      <c r="G48" s="1597"/>
      <c r="H48" s="1597"/>
      <c r="I48" s="1597"/>
      <c r="J48" s="1597"/>
      <c r="K48" s="1597"/>
      <c r="L48" s="1597"/>
      <c r="M48" s="1597"/>
      <c r="N48" s="1597"/>
      <c r="O48" s="1597"/>
      <c r="P48" s="1597"/>
      <c r="Q48" s="1597"/>
      <c r="R48" s="1547"/>
      <c r="S48" s="1544"/>
    </row>
    <row r="49" spans="1:19">
      <c r="A49" s="1547"/>
      <c r="B49" s="1597"/>
      <c r="C49" s="1597"/>
      <c r="D49" s="1597"/>
      <c r="E49" s="1597"/>
      <c r="F49" s="1597"/>
      <c r="G49" s="1597"/>
      <c r="H49" s="1597"/>
      <c r="I49" s="1597"/>
      <c r="J49" s="1597"/>
      <c r="K49" s="1597"/>
      <c r="L49" s="1597"/>
      <c r="M49" s="1597"/>
      <c r="N49" s="1597"/>
      <c r="O49" s="1597"/>
      <c r="P49" s="1597"/>
      <c r="Q49" s="1597"/>
      <c r="R49" s="1547"/>
      <c r="S49" s="1544"/>
    </row>
    <row r="50" spans="1:19">
      <c r="A50" s="1547"/>
      <c r="B50" s="1597"/>
      <c r="C50" s="1597"/>
      <c r="D50" s="1597"/>
      <c r="E50" s="1597"/>
      <c r="F50" s="1597"/>
      <c r="G50" s="1597"/>
      <c r="H50" s="1597"/>
      <c r="I50" s="1597"/>
      <c r="J50" s="1597"/>
      <c r="K50" s="1597"/>
      <c r="L50" s="1597"/>
      <c r="M50" s="1597"/>
      <c r="N50" s="1597"/>
      <c r="O50" s="1597"/>
      <c r="P50" s="1597"/>
      <c r="Q50" s="1597"/>
      <c r="R50" s="1547"/>
      <c r="S50" s="1544"/>
    </row>
    <row r="51" spans="1:19">
      <c r="A51" s="1547"/>
      <c r="B51" s="1597"/>
      <c r="C51" s="1597"/>
      <c r="D51" s="1597"/>
      <c r="E51" s="1597"/>
      <c r="F51" s="1597"/>
      <c r="G51" s="1597"/>
      <c r="H51" s="1597"/>
      <c r="I51" s="1597"/>
      <c r="J51" s="1597"/>
      <c r="K51" s="1597"/>
      <c r="L51" s="1597"/>
      <c r="M51" s="1597"/>
      <c r="N51" s="1597"/>
      <c r="O51" s="1597"/>
      <c r="P51" s="1597"/>
      <c r="Q51" s="3141"/>
      <c r="R51" s="1547"/>
      <c r="S51" s="1544"/>
    </row>
    <row r="52" spans="1:19">
      <c r="A52" s="1547"/>
      <c r="B52" s="1597"/>
      <c r="C52" s="1597"/>
      <c r="D52" s="1597"/>
      <c r="E52" s="1597"/>
      <c r="F52" s="1597"/>
      <c r="G52" s="1597"/>
      <c r="H52" s="1597"/>
      <c r="I52" s="1597"/>
      <c r="J52" s="1597"/>
      <c r="K52" s="1597"/>
      <c r="L52" s="1597"/>
      <c r="M52" s="1597"/>
      <c r="N52" s="1597"/>
      <c r="O52" s="1597"/>
      <c r="P52" s="3141"/>
      <c r="Q52" s="1597"/>
      <c r="R52" s="1547"/>
      <c r="S52" s="1544"/>
    </row>
    <row r="53" spans="1:19" ht="13.5" customHeight="1">
      <c r="A53" s="1547"/>
      <c r="B53" s="1597"/>
      <c r="C53" s="1597"/>
      <c r="D53" s="1597"/>
      <c r="E53" s="1597"/>
      <c r="F53" s="1597"/>
      <c r="G53" s="1597"/>
      <c r="H53" s="1597"/>
      <c r="I53" s="1597"/>
      <c r="J53" s="1597"/>
      <c r="K53" s="1597"/>
      <c r="L53" s="1597"/>
      <c r="M53" s="1597"/>
      <c r="N53" s="1597"/>
      <c r="O53" s="1597"/>
      <c r="P53" s="1597"/>
      <c r="Q53" s="1597"/>
      <c r="R53" s="1547"/>
      <c r="S53" s="1544"/>
    </row>
    <row r="54" spans="1:19">
      <c r="A54" s="1547"/>
      <c r="B54" s="1547"/>
      <c r="C54" s="1547"/>
      <c r="D54" s="1547"/>
      <c r="E54" s="1547"/>
      <c r="F54" s="1547"/>
      <c r="G54" s="1547"/>
      <c r="H54" s="1547"/>
      <c r="I54" s="1547"/>
      <c r="J54" s="1547"/>
      <c r="K54" s="1547"/>
      <c r="L54" s="1547"/>
      <c r="M54" s="1547"/>
      <c r="N54" s="1547"/>
      <c r="O54" s="1547"/>
      <c r="P54" s="1547"/>
      <c r="Q54" s="1547"/>
      <c r="R54" s="1547"/>
      <c r="S54" s="1544"/>
    </row>
    <row r="55" spans="1:19" ht="13.8" thickBot="1">
      <c r="A55" s="1547"/>
      <c r="B55" s="1547"/>
      <c r="C55" s="1547"/>
      <c r="D55" s="1547"/>
      <c r="E55" s="1547"/>
      <c r="F55" s="1547"/>
      <c r="G55" s="1547"/>
      <c r="H55" s="1547"/>
      <c r="I55" s="1547"/>
      <c r="J55" s="1547"/>
      <c r="K55" s="1547"/>
      <c r="L55" s="1547"/>
      <c r="M55" s="1547"/>
      <c r="N55" s="1547"/>
      <c r="O55" s="1547"/>
      <c r="P55" s="1547"/>
      <c r="Q55" s="1547"/>
      <c r="R55" s="1547"/>
      <c r="S55" s="1544"/>
    </row>
    <row r="56" spans="1:19" ht="13.8" thickTop="1">
      <c r="A56" s="1598"/>
      <c r="B56" s="1598"/>
      <c r="C56" s="1598"/>
      <c r="D56" s="1598"/>
      <c r="E56" s="1598"/>
      <c r="F56" s="1598"/>
      <c r="G56" s="1598"/>
      <c r="H56" s="1598"/>
      <c r="I56" s="1598"/>
      <c r="J56" s="1598"/>
      <c r="K56" s="1598"/>
      <c r="L56" s="1598"/>
      <c r="M56" s="1598"/>
      <c r="N56" s="1598"/>
      <c r="O56" s="1598"/>
      <c r="P56" s="1598"/>
      <c r="Q56" s="1598"/>
      <c r="R56" s="1598"/>
    </row>
    <row r="195" spans="2:17" ht="17.399999999999999">
      <c r="B195" s="3599" t="str">
        <f>G1</f>
        <v>עירית הרצליה</v>
      </c>
      <c r="C195" s="3599"/>
      <c r="D195" s="3599"/>
      <c r="E195" s="3599"/>
      <c r="F195" s="3599"/>
      <c r="G195" s="3599"/>
      <c r="H195" s="3599"/>
      <c r="I195" s="3599"/>
      <c r="J195" s="3599"/>
      <c r="K195" s="3599"/>
      <c r="L195" s="3599"/>
      <c r="M195" s="3599"/>
      <c r="N195" s="3599"/>
      <c r="O195" s="3599"/>
      <c r="P195" s="3599"/>
      <c r="Q195" s="3599"/>
    </row>
    <row r="196" spans="2:17" ht="17.399999999999999">
      <c r="B196" s="3599" t="str">
        <f>+G2</f>
        <v>נתוני כוח אדם והוצאות לשכר לשנה שנסתיימה ביום 31 בדצמבר 2015 באלפי ש"ח</v>
      </c>
      <c r="C196" s="3599"/>
      <c r="D196" s="3599"/>
      <c r="E196" s="3599"/>
      <c r="F196" s="3599"/>
      <c r="G196" s="3599"/>
      <c r="H196" s="3599"/>
      <c r="I196" s="3599"/>
      <c r="J196" s="3599"/>
      <c r="K196" s="3599"/>
      <c r="L196" s="3599"/>
      <c r="M196" s="3599"/>
      <c r="N196" s="3599"/>
      <c r="O196" s="3599"/>
      <c r="P196" s="3599"/>
      <c r="Q196" s="3599"/>
    </row>
    <row r="197" spans="2:17" ht="8.25" customHeight="1"/>
    <row r="198" spans="2:17" ht="0.75" hidden="1" customHeight="1"/>
    <row r="199" spans="2:17" hidden="1"/>
    <row r="200" spans="2:17">
      <c r="B200" s="1599"/>
      <c r="C200" s="347">
        <f t="shared" ref="C200:C217" si="3">C4</f>
        <v>0</v>
      </c>
      <c r="D200" s="347">
        <f t="shared" ref="D200:O200" si="4">D4</f>
        <v>0</v>
      </c>
      <c r="E200" s="347">
        <f t="shared" si="4"/>
        <v>0</v>
      </c>
      <c r="F200" s="347">
        <f t="shared" si="4"/>
        <v>0</v>
      </c>
      <c r="G200" s="799" t="str">
        <f t="shared" si="4"/>
        <v>שנה נוכחית</v>
      </c>
      <c r="H200" s="347">
        <f t="shared" si="4"/>
        <v>0</v>
      </c>
      <c r="I200" s="347">
        <f t="shared" si="4"/>
        <v>0</v>
      </c>
      <c r="J200" s="347">
        <f t="shared" si="4"/>
        <v>0</v>
      </c>
      <c r="K200" s="347">
        <f t="shared" si="4"/>
        <v>0</v>
      </c>
      <c r="L200" s="1600">
        <f t="shared" si="4"/>
        <v>0</v>
      </c>
      <c r="M200" s="1601">
        <f t="shared" ref="M200:M205" si="5">M4</f>
        <v>0</v>
      </c>
      <c r="N200" s="1601"/>
      <c r="O200" s="1601" t="str">
        <f t="shared" si="4"/>
        <v>שנה קודמת</v>
      </c>
      <c r="P200" s="1601"/>
      <c r="Q200" s="1601"/>
    </row>
    <row r="201" spans="2:17" ht="11.25" customHeight="1">
      <c r="B201" s="1600">
        <f>B5</f>
        <v>0</v>
      </c>
      <c r="C201" s="1600">
        <f t="shared" si="3"/>
        <v>0</v>
      </c>
      <c r="D201" s="1600">
        <f t="shared" ref="D201:O201" si="6">D5</f>
        <v>0</v>
      </c>
      <c r="E201" s="1600">
        <f t="shared" si="6"/>
        <v>0</v>
      </c>
      <c r="F201" s="1600">
        <f t="shared" si="6"/>
        <v>0</v>
      </c>
      <c r="G201" s="1600">
        <f t="shared" si="6"/>
        <v>0</v>
      </c>
      <c r="H201" s="1600">
        <f t="shared" si="6"/>
        <v>0</v>
      </c>
      <c r="I201" s="1600">
        <f t="shared" si="6"/>
        <v>0</v>
      </c>
      <c r="J201" s="1600">
        <f t="shared" si="6"/>
        <v>0</v>
      </c>
      <c r="K201" s="1600" t="str">
        <f t="shared" si="6"/>
        <v>שכר ממוצע</v>
      </c>
      <c r="L201" s="1600">
        <f t="shared" si="6"/>
        <v>0</v>
      </c>
      <c r="M201" s="1602">
        <f t="shared" si="5"/>
        <v>0</v>
      </c>
      <c r="N201" s="1603">
        <f t="shared" ref="N201:N217" si="7">N5</f>
        <v>0</v>
      </c>
      <c r="O201" s="1602">
        <f t="shared" si="6"/>
        <v>0</v>
      </c>
      <c r="P201" s="1603">
        <f t="shared" ref="P201:Q213" si="8">P5</f>
        <v>0</v>
      </c>
      <c r="Q201" s="1600" t="str">
        <f t="shared" si="8"/>
        <v>שכר ממוצע</v>
      </c>
    </row>
    <row r="202" spans="2:17" ht="9.75" customHeight="1">
      <c r="B202" s="1600">
        <f>B6</f>
        <v>0</v>
      </c>
      <c r="C202" s="1600">
        <f t="shared" si="3"/>
        <v>0</v>
      </c>
      <c r="D202" s="1600">
        <f t="shared" ref="D202:O202" si="9">D6</f>
        <v>0</v>
      </c>
      <c r="E202" s="1600">
        <f t="shared" si="9"/>
        <v>0</v>
      </c>
      <c r="F202" s="1600">
        <f t="shared" si="9"/>
        <v>0</v>
      </c>
      <c r="G202" s="1600" t="str">
        <f t="shared" si="9"/>
        <v>מצבת</v>
      </c>
      <c r="H202" s="1600">
        <f t="shared" si="9"/>
        <v>0</v>
      </c>
      <c r="I202" s="1600" t="str">
        <f t="shared" si="9"/>
        <v>הוצאות שכר</v>
      </c>
      <c r="J202" s="1600">
        <f t="shared" si="9"/>
        <v>0</v>
      </c>
      <c r="K202" s="1600" t="str">
        <f t="shared" si="9"/>
        <v>בפועל</v>
      </c>
      <c r="L202" s="1600">
        <f t="shared" si="9"/>
        <v>0</v>
      </c>
      <c r="M202" s="1600" t="str">
        <f t="shared" si="5"/>
        <v>מצבת משרות</v>
      </c>
      <c r="N202" s="1602">
        <f t="shared" si="7"/>
        <v>0</v>
      </c>
      <c r="O202" s="1600" t="str">
        <f t="shared" si="9"/>
        <v>הוצאות שכר</v>
      </c>
      <c r="P202" s="1602">
        <f t="shared" si="8"/>
        <v>0</v>
      </c>
      <c r="Q202" s="1600" t="str">
        <f t="shared" si="8"/>
        <v>בפועל</v>
      </c>
    </row>
    <row r="203" spans="2:17">
      <c r="B203" s="1600">
        <f>B7</f>
        <v>0</v>
      </c>
      <c r="C203" s="1600" t="str">
        <f t="shared" si="3"/>
        <v xml:space="preserve">תקן </v>
      </c>
      <c r="D203" s="1600">
        <f t="shared" ref="D203:O203" si="10">D7</f>
        <v>0</v>
      </c>
      <c r="E203" s="1600" t="str">
        <f t="shared" si="10"/>
        <v xml:space="preserve">תקן </v>
      </c>
      <c r="F203" s="1600">
        <f t="shared" si="10"/>
        <v>0</v>
      </c>
      <c r="G203" s="1600" t="str">
        <f t="shared" si="10"/>
        <v>משרות כח אדם</v>
      </c>
      <c r="H203" s="1600">
        <f t="shared" si="10"/>
        <v>0</v>
      </c>
      <c r="I203" s="1600" t="str">
        <f t="shared" si="10"/>
        <v>בפועל  אלפי</v>
      </c>
      <c r="J203" s="1600">
        <f t="shared" si="10"/>
        <v>0</v>
      </c>
      <c r="K203" s="1600" t="str">
        <f t="shared" si="10"/>
        <v>לשנה למשרה</v>
      </c>
      <c r="L203" s="1600">
        <f t="shared" si="10"/>
        <v>0</v>
      </c>
      <c r="M203" s="1600" t="str">
        <f t="shared" si="5"/>
        <v>כוח אדם</v>
      </c>
      <c r="N203" s="1603">
        <f t="shared" si="7"/>
        <v>0</v>
      </c>
      <c r="O203" s="1600" t="str">
        <f t="shared" si="10"/>
        <v>בפועל אלפי</v>
      </c>
      <c r="P203" s="1603">
        <f t="shared" si="8"/>
        <v>0</v>
      </c>
      <c r="Q203" s="1600" t="str">
        <f t="shared" si="8"/>
        <v>לשנה למשרה</v>
      </c>
    </row>
    <row r="204" spans="2:17">
      <c r="B204" s="2766" t="str">
        <f>B8</f>
        <v>סוג משרה</v>
      </c>
      <c r="C204" s="347" t="str">
        <f t="shared" si="3"/>
        <v>כח אדם  ייעודי</v>
      </c>
      <c r="D204" s="1600">
        <f t="shared" ref="D204:O204" si="11">D8</f>
        <v>0</v>
      </c>
      <c r="E204" s="347" t="str">
        <f t="shared" si="11"/>
        <v>כח אדם רשותי</v>
      </c>
      <c r="F204" s="1600">
        <f t="shared" si="11"/>
        <v>0</v>
      </c>
      <c r="G204" s="347" t="str">
        <f t="shared" si="11"/>
        <v>ממוצעת</v>
      </c>
      <c r="H204" s="1600">
        <f t="shared" si="11"/>
        <v>0</v>
      </c>
      <c r="I204" s="347" t="str">
        <f t="shared" si="11"/>
        <v>ש"ח (דוח 66)</v>
      </c>
      <c r="J204" s="1600">
        <f t="shared" si="11"/>
        <v>0</v>
      </c>
      <c r="K204" s="347" t="str">
        <f t="shared" si="11"/>
        <v>אלפי ש"ח</v>
      </c>
      <c r="L204" s="1600">
        <f t="shared" si="11"/>
        <v>0</v>
      </c>
      <c r="M204" s="347" t="str">
        <f t="shared" si="5"/>
        <v>בפועל</v>
      </c>
      <c r="N204" s="1603">
        <f t="shared" si="7"/>
        <v>0</v>
      </c>
      <c r="O204" s="347" t="str">
        <f t="shared" si="11"/>
        <v>ש"ח (דוח 66)</v>
      </c>
      <c r="P204" s="1603">
        <f t="shared" si="8"/>
        <v>0</v>
      </c>
      <c r="Q204" s="347" t="str">
        <f t="shared" si="8"/>
        <v>אלפי ש"ח</v>
      </c>
    </row>
    <row r="205" spans="2:17" ht="3.75" customHeight="1">
      <c r="B205" s="1600">
        <f>B9</f>
        <v>0</v>
      </c>
      <c r="C205" s="1600">
        <f t="shared" si="3"/>
        <v>0</v>
      </c>
      <c r="D205" s="1600">
        <f t="shared" ref="D205:O205" si="12">D9</f>
        <v>0</v>
      </c>
      <c r="E205" s="1600">
        <f t="shared" si="12"/>
        <v>0</v>
      </c>
      <c r="F205" s="1600">
        <f t="shared" si="12"/>
        <v>0</v>
      </c>
      <c r="G205" s="1600">
        <f t="shared" si="12"/>
        <v>0</v>
      </c>
      <c r="H205" s="1600">
        <f t="shared" si="12"/>
        <v>0</v>
      </c>
      <c r="I205" s="1600">
        <f t="shared" si="12"/>
        <v>0</v>
      </c>
      <c r="J205" s="1600">
        <f t="shared" si="12"/>
        <v>0</v>
      </c>
      <c r="K205" s="1600">
        <f t="shared" si="12"/>
        <v>0</v>
      </c>
      <c r="L205" s="1600">
        <f t="shared" si="12"/>
        <v>0</v>
      </c>
      <c r="M205" s="1600">
        <f t="shared" si="5"/>
        <v>0</v>
      </c>
      <c r="N205" s="1600">
        <f t="shared" si="7"/>
        <v>0</v>
      </c>
      <c r="O205" s="1600">
        <f t="shared" si="12"/>
        <v>0</v>
      </c>
      <c r="P205" s="1600">
        <f t="shared" si="8"/>
        <v>0</v>
      </c>
      <c r="Q205" s="1600">
        <f t="shared" si="8"/>
        <v>0</v>
      </c>
    </row>
    <row r="206" spans="2:17">
      <c r="B206" s="1600" t="str">
        <f t="shared" ref="B206:B219" si="13">IF(AND($D10=0,$E10=0,$F10=0,$G10=0,$H10=0,$I10=0,$J10=0,$K10=0,$L10=0,$O10=0,$P10=0,$Q10=0),"",$B10)</f>
        <v>חינוך עם תקן</v>
      </c>
      <c r="C206" s="1604">
        <f t="shared" si="3"/>
        <v>707.7</v>
      </c>
      <c r="D206" s="1600">
        <f t="shared" ref="D206:O208" si="14">D10</f>
        <v>0</v>
      </c>
      <c r="E206" s="1604">
        <f t="shared" si="14"/>
        <v>949.28</v>
      </c>
      <c r="F206" s="1605">
        <f t="shared" si="14"/>
        <v>0</v>
      </c>
      <c r="G206" s="1606">
        <f t="shared" si="14"/>
        <v>943.96</v>
      </c>
      <c r="H206" s="1605">
        <f t="shared" si="14"/>
        <v>0</v>
      </c>
      <c r="I206" s="1607">
        <f t="shared" si="14"/>
        <v>147397</v>
      </c>
      <c r="J206" s="1605">
        <f t="shared" si="14"/>
        <v>0</v>
      </c>
      <c r="K206" s="1604">
        <f t="shared" si="14"/>
        <v>156.14750625026483</v>
      </c>
      <c r="L206" s="1608">
        <f t="shared" si="14"/>
        <v>0</v>
      </c>
      <c r="M206" s="1607">
        <f t="shared" ref="M206:M217" si="15">M10</f>
        <v>886</v>
      </c>
      <c r="N206" s="1605">
        <f t="shared" si="7"/>
        <v>0</v>
      </c>
      <c r="O206" s="1607">
        <f t="shared" si="14"/>
        <v>142277</v>
      </c>
      <c r="P206" s="1605">
        <f t="shared" si="8"/>
        <v>0</v>
      </c>
      <c r="Q206" s="1604">
        <f t="shared" si="8"/>
        <v>160.58352144469526</v>
      </c>
    </row>
    <row r="207" spans="2:17">
      <c r="B207" s="1600" t="str">
        <f t="shared" si="13"/>
        <v/>
      </c>
      <c r="C207" s="1604">
        <f t="shared" si="3"/>
        <v>0</v>
      </c>
      <c r="D207" s="1600">
        <f t="shared" si="14"/>
        <v>0</v>
      </c>
      <c r="E207" s="1604">
        <f t="shared" si="14"/>
        <v>0</v>
      </c>
      <c r="F207" s="1605">
        <f t="shared" si="14"/>
        <v>0</v>
      </c>
      <c r="G207" s="1606">
        <f t="shared" si="14"/>
        <v>0</v>
      </c>
      <c r="H207" s="1605">
        <f t="shared" si="14"/>
        <v>0</v>
      </c>
      <c r="I207" s="1607">
        <f t="shared" si="14"/>
        <v>0</v>
      </c>
      <c r="J207" s="1605">
        <f t="shared" si="14"/>
        <v>0</v>
      </c>
      <c r="K207" s="1604">
        <f t="shared" si="14"/>
        <v>0</v>
      </c>
      <c r="L207" s="1608">
        <f t="shared" si="14"/>
        <v>0</v>
      </c>
      <c r="M207" s="1607">
        <f t="shared" si="15"/>
        <v>0</v>
      </c>
      <c r="N207" s="1605">
        <f t="shared" si="7"/>
        <v>0</v>
      </c>
      <c r="O207" s="1607">
        <f t="shared" si="14"/>
        <v>0</v>
      </c>
      <c r="P207" s="1605">
        <f t="shared" si="8"/>
        <v>0</v>
      </c>
      <c r="Q207" s="1604">
        <f t="shared" si="8"/>
        <v>0</v>
      </c>
    </row>
    <row r="208" spans="2:17">
      <c r="B208" s="2766" t="str">
        <f t="shared" si="13"/>
        <v>סה"כ חינוך</v>
      </c>
      <c r="C208" s="2956">
        <f t="shared" si="3"/>
        <v>707.7</v>
      </c>
      <c r="D208" s="2766">
        <f t="shared" si="14"/>
        <v>0</v>
      </c>
      <c r="E208" s="2956">
        <f t="shared" si="14"/>
        <v>949.28</v>
      </c>
      <c r="F208" s="1613">
        <f t="shared" si="14"/>
        <v>0</v>
      </c>
      <c r="G208" s="2957">
        <f t="shared" si="14"/>
        <v>943.96</v>
      </c>
      <c r="H208" s="1613">
        <f t="shared" si="14"/>
        <v>0</v>
      </c>
      <c r="I208" s="2958">
        <f t="shared" si="14"/>
        <v>147397</v>
      </c>
      <c r="J208" s="1613">
        <f t="shared" si="14"/>
        <v>0</v>
      </c>
      <c r="K208" s="2956">
        <f t="shared" si="14"/>
        <v>156.14750625026483</v>
      </c>
      <c r="L208" s="1616">
        <f t="shared" si="14"/>
        <v>0</v>
      </c>
      <c r="M208" s="2958">
        <f t="shared" si="15"/>
        <v>886</v>
      </c>
      <c r="N208" s="1613">
        <f t="shared" si="7"/>
        <v>0</v>
      </c>
      <c r="O208" s="2958">
        <f t="shared" si="14"/>
        <v>142277</v>
      </c>
      <c r="P208" s="1613">
        <f t="shared" si="8"/>
        <v>0</v>
      </c>
      <c r="Q208" s="2956">
        <f t="shared" si="8"/>
        <v>160.58352144469526</v>
      </c>
    </row>
    <row r="209" spans="2:17">
      <c r="B209" s="1600" t="str">
        <f t="shared" si="13"/>
        <v>רווחה עם תקן</v>
      </c>
      <c r="C209" s="1604">
        <f t="shared" si="3"/>
        <v>92.32</v>
      </c>
      <c r="D209" s="1600">
        <f t="shared" ref="D209:O211" si="16">D13</f>
        <v>0</v>
      </c>
      <c r="E209" s="1604">
        <f t="shared" si="16"/>
        <v>109.46</v>
      </c>
      <c r="F209" s="1605">
        <f t="shared" si="16"/>
        <v>0</v>
      </c>
      <c r="G209" s="1606">
        <f t="shared" si="16"/>
        <v>103.96</v>
      </c>
      <c r="H209" s="1605">
        <f t="shared" si="16"/>
        <v>0</v>
      </c>
      <c r="I209" s="1607">
        <f t="shared" si="16"/>
        <v>18216</v>
      </c>
      <c r="J209" s="1605">
        <f t="shared" si="16"/>
        <v>0</v>
      </c>
      <c r="K209" s="1604">
        <f t="shared" si="16"/>
        <v>175.22123893805312</v>
      </c>
      <c r="L209" s="1608">
        <f t="shared" si="16"/>
        <v>0</v>
      </c>
      <c r="M209" s="1607">
        <f t="shared" si="15"/>
        <v>96</v>
      </c>
      <c r="N209" s="1605">
        <f t="shared" si="7"/>
        <v>0</v>
      </c>
      <c r="O209" s="1607">
        <f t="shared" si="16"/>
        <v>16990</v>
      </c>
      <c r="P209" s="1605">
        <f t="shared" si="8"/>
        <v>0</v>
      </c>
      <c r="Q209" s="1604">
        <f t="shared" si="8"/>
        <v>176.97916666666666</v>
      </c>
    </row>
    <row r="210" spans="2:17">
      <c r="B210" s="1600" t="str">
        <f t="shared" si="13"/>
        <v/>
      </c>
      <c r="C210" s="1604">
        <f t="shared" si="3"/>
        <v>0</v>
      </c>
      <c r="D210" s="1600">
        <f t="shared" si="16"/>
        <v>0</v>
      </c>
      <c r="E210" s="1604">
        <f t="shared" si="16"/>
        <v>0</v>
      </c>
      <c r="F210" s="1605">
        <f t="shared" si="16"/>
        <v>0</v>
      </c>
      <c r="G210" s="1606">
        <f t="shared" si="16"/>
        <v>0</v>
      </c>
      <c r="H210" s="1605">
        <f t="shared" si="16"/>
        <v>0</v>
      </c>
      <c r="I210" s="1607">
        <f t="shared" si="16"/>
        <v>0</v>
      </c>
      <c r="J210" s="1605">
        <f t="shared" si="16"/>
        <v>0</v>
      </c>
      <c r="K210" s="1604">
        <f t="shared" si="16"/>
        <v>0</v>
      </c>
      <c r="L210" s="1608">
        <f t="shared" si="16"/>
        <v>0</v>
      </c>
      <c r="M210" s="1607">
        <f t="shared" si="15"/>
        <v>0</v>
      </c>
      <c r="N210" s="1605">
        <f t="shared" si="7"/>
        <v>0</v>
      </c>
      <c r="O210" s="1607">
        <f t="shared" si="16"/>
        <v>0</v>
      </c>
      <c r="P210" s="1605">
        <f t="shared" si="8"/>
        <v>0</v>
      </c>
      <c r="Q210" s="1604">
        <f t="shared" si="8"/>
        <v>0</v>
      </c>
    </row>
    <row r="211" spans="2:17">
      <c r="B211" s="2766" t="str">
        <f t="shared" si="13"/>
        <v>סה"כ רווחה</v>
      </c>
      <c r="C211" s="2956">
        <f t="shared" si="3"/>
        <v>92.32</v>
      </c>
      <c r="D211" s="2766">
        <f t="shared" si="16"/>
        <v>0</v>
      </c>
      <c r="E211" s="2956">
        <f t="shared" si="16"/>
        <v>109.46</v>
      </c>
      <c r="F211" s="1613">
        <f t="shared" si="16"/>
        <v>0</v>
      </c>
      <c r="G211" s="2957">
        <f t="shared" si="16"/>
        <v>103.96</v>
      </c>
      <c r="H211" s="1613">
        <f t="shared" si="16"/>
        <v>0</v>
      </c>
      <c r="I211" s="2958">
        <f t="shared" si="16"/>
        <v>18216</v>
      </c>
      <c r="J211" s="1613">
        <f t="shared" si="16"/>
        <v>0</v>
      </c>
      <c r="K211" s="2956">
        <f t="shared" si="16"/>
        <v>175.22123893805312</v>
      </c>
      <c r="L211" s="1616">
        <f t="shared" si="16"/>
        <v>0</v>
      </c>
      <c r="M211" s="2958">
        <f t="shared" si="15"/>
        <v>96</v>
      </c>
      <c r="N211" s="1613">
        <f t="shared" si="7"/>
        <v>0</v>
      </c>
      <c r="O211" s="2958">
        <f t="shared" si="16"/>
        <v>16990</v>
      </c>
      <c r="P211" s="1613">
        <f t="shared" si="8"/>
        <v>0</v>
      </c>
      <c r="Q211" s="2956">
        <f t="shared" si="8"/>
        <v>176.97916666666666</v>
      </c>
    </row>
    <row r="212" spans="2:17">
      <c r="B212" s="1600" t="str">
        <f t="shared" si="13"/>
        <v>יתר המשרות בכירים עם תקן</v>
      </c>
      <c r="C212" s="1604">
        <f t="shared" si="3"/>
        <v>1</v>
      </c>
      <c r="D212" s="1600">
        <f t="shared" ref="D212:O213" si="17">D16</f>
        <v>0</v>
      </c>
      <c r="E212" s="1604">
        <f t="shared" si="17"/>
        <v>14</v>
      </c>
      <c r="F212" s="1605">
        <f t="shared" si="17"/>
        <v>0</v>
      </c>
      <c r="G212" s="1606">
        <f t="shared" si="17"/>
        <v>14</v>
      </c>
      <c r="H212" s="1605">
        <f t="shared" si="17"/>
        <v>0</v>
      </c>
      <c r="I212" s="1607">
        <f t="shared" si="17"/>
        <v>7010</v>
      </c>
      <c r="J212" s="1605">
        <f t="shared" si="17"/>
        <v>0</v>
      </c>
      <c r="K212" s="1604">
        <f t="shared" si="17"/>
        <v>500.71428571428572</v>
      </c>
      <c r="L212" s="1608">
        <f t="shared" si="17"/>
        <v>0</v>
      </c>
      <c r="M212" s="1607">
        <f t="shared" si="15"/>
        <v>13</v>
      </c>
      <c r="N212" s="1605">
        <f t="shared" si="7"/>
        <v>0</v>
      </c>
      <c r="O212" s="1607">
        <f t="shared" si="17"/>
        <v>6498</v>
      </c>
      <c r="P212" s="1605">
        <f t="shared" si="8"/>
        <v>0</v>
      </c>
      <c r="Q212" s="1604">
        <f t="shared" si="8"/>
        <v>499.84615384615387</v>
      </c>
    </row>
    <row r="213" spans="2:17">
      <c r="B213" s="1600" t="str">
        <f t="shared" si="13"/>
        <v/>
      </c>
      <c r="C213" s="1604">
        <f t="shared" si="3"/>
        <v>0</v>
      </c>
      <c r="D213" s="1600">
        <f t="shared" si="17"/>
        <v>0</v>
      </c>
      <c r="E213" s="1604">
        <f t="shared" si="17"/>
        <v>0</v>
      </c>
      <c r="F213" s="1605">
        <f t="shared" si="17"/>
        <v>0</v>
      </c>
      <c r="G213" s="1606">
        <f t="shared" si="17"/>
        <v>0</v>
      </c>
      <c r="H213" s="1605">
        <f t="shared" si="17"/>
        <v>0</v>
      </c>
      <c r="I213" s="1607">
        <f t="shared" si="17"/>
        <v>0</v>
      </c>
      <c r="J213" s="1605">
        <f t="shared" si="17"/>
        <v>0</v>
      </c>
      <c r="K213" s="1604">
        <f t="shared" si="17"/>
        <v>0</v>
      </c>
      <c r="L213" s="1608">
        <f t="shared" si="17"/>
        <v>0</v>
      </c>
      <c r="M213" s="1607">
        <f t="shared" si="15"/>
        <v>0</v>
      </c>
      <c r="N213" s="1605">
        <f t="shared" si="7"/>
        <v>0</v>
      </c>
      <c r="O213" s="1607">
        <f t="shared" si="17"/>
        <v>0</v>
      </c>
      <c r="P213" s="1605">
        <f t="shared" si="8"/>
        <v>0</v>
      </c>
      <c r="Q213" s="1604">
        <f t="shared" si="8"/>
        <v>0</v>
      </c>
    </row>
    <row r="214" spans="2:17">
      <c r="B214" s="2766" t="str">
        <f t="shared" si="13"/>
        <v>סה"כ יתר המשרות בכירים</v>
      </c>
      <c r="C214" s="2956">
        <f t="shared" si="3"/>
        <v>1</v>
      </c>
      <c r="D214" s="2766">
        <f t="shared" ref="D214:L214" si="18">D18</f>
        <v>0</v>
      </c>
      <c r="E214" s="2956">
        <f t="shared" si="18"/>
        <v>14</v>
      </c>
      <c r="F214" s="1613">
        <f t="shared" si="18"/>
        <v>0</v>
      </c>
      <c r="G214" s="2957">
        <f t="shared" si="18"/>
        <v>14</v>
      </c>
      <c r="H214" s="1613">
        <f t="shared" si="18"/>
        <v>0</v>
      </c>
      <c r="I214" s="2958">
        <f t="shared" si="18"/>
        <v>7010</v>
      </c>
      <c r="J214" s="1613">
        <f t="shared" si="18"/>
        <v>0</v>
      </c>
      <c r="K214" s="2956">
        <f t="shared" si="18"/>
        <v>500.71428571428572</v>
      </c>
      <c r="L214" s="1616">
        <f t="shared" si="18"/>
        <v>0</v>
      </c>
      <c r="M214" s="2958">
        <f t="shared" si="15"/>
        <v>13</v>
      </c>
      <c r="N214" s="1613">
        <f t="shared" si="7"/>
        <v>0</v>
      </c>
      <c r="O214" s="2958">
        <f t="shared" ref="O214:Q217" si="19">O18</f>
        <v>6498</v>
      </c>
      <c r="P214" s="1613">
        <f t="shared" si="19"/>
        <v>0</v>
      </c>
      <c r="Q214" s="2956">
        <f t="shared" si="19"/>
        <v>499.84615384615387</v>
      </c>
    </row>
    <row r="215" spans="2:17">
      <c r="B215" s="1600" t="str">
        <f t="shared" si="13"/>
        <v>יתר המשרות אחרים עם תקן</v>
      </c>
      <c r="C215" s="1604">
        <f t="shared" si="3"/>
        <v>2.87</v>
      </c>
      <c r="D215" s="1600">
        <f t="shared" ref="D215:L215" si="20">D19</f>
        <v>0</v>
      </c>
      <c r="E215" s="1604">
        <f t="shared" si="20"/>
        <v>559.44000000000005</v>
      </c>
      <c r="F215" s="1605">
        <f t="shared" si="20"/>
        <v>0</v>
      </c>
      <c r="G215" s="1606">
        <f t="shared" si="20"/>
        <v>536.07000000000005</v>
      </c>
      <c r="H215" s="1605">
        <f t="shared" si="20"/>
        <v>0</v>
      </c>
      <c r="I215" s="1607">
        <f t="shared" si="20"/>
        <v>94491</v>
      </c>
      <c r="J215" s="1605">
        <f t="shared" si="20"/>
        <v>0</v>
      </c>
      <c r="K215" s="1604">
        <f t="shared" si="20"/>
        <v>176.26615927024454</v>
      </c>
      <c r="L215" s="1608">
        <f t="shared" si="20"/>
        <v>0</v>
      </c>
      <c r="M215" s="1607">
        <f t="shared" si="15"/>
        <v>523</v>
      </c>
      <c r="N215" s="1605">
        <f t="shared" si="7"/>
        <v>0</v>
      </c>
      <c r="O215" s="1607">
        <f t="shared" si="19"/>
        <v>88244</v>
      </c>
      <c r="P215" s="1605">
        <f t="shared" si="19"/>
        <v>0</v>
      </c>
      <c r="Q215" s="1604">
        <f t="shared" si="19"/>
        <v>168.72657743785851</v>
      </c>
    </row>
    <row r="216" spans="2:17">
      <c r="B216" s="1600" t="str">
        <f t="shared" si="13"/>
        <v/>
      </c>
      <c r="C216" s="1604">
        <f t="shared" si="3"/>
        <v>0</v>
      </c>
      <c r="D216" s="1600">
        <f t="shared" ref="D216:L216" si="21">D20</f>
        <v>0</v>
      </c>
      <c r="E216" s="1604">
        <f t="shared" si="21"/>
        <v>0</v>
      </c>
      <c r="F216" s="1605">
        <f t="shared" si="21"/>
        <v>0</v>
      </c>
      <c r="G216" s="1606">
        <f t="shared" si="21"/>
        <v>0</v>
      </c>
      <c r="H216" s="1605">
        <f t="shared" si="21"/>
        <v>0</v>
      </c>
      <c r="I216" s="1607">
        <f t="shared" si="21"/>
        <v>0</v>
      </c>
      <c r="J216" s="1605">
        <f t="shared" si="21"/>
        <v>0</v>
      </c>
      <c r="K216" s="1604">
        <f t="shared" si="21"/>
        <v>0</v>
      </c>
      <c r="L216" s="1608">
        <f t="shared" si="21"/>
        <v>0</v>
      </c>
      <c r="M216" s="1607">
        <f t="shared" si="15"/>
        <v>0</v>
      </c>
      <c r="N216" s="1605">
        <f t="shared" si="7"/>
        <v>0</v>
      </c>
      <c r="O216" s="1607">
        <f t="shared" si="19"/>
        <v>0</v>
      </c>
      <c r="P216" s="1605">
        <f t="shared" si="19"/>
        <v>0</v>
      </c>
      <c r="Q216" s="1604">
        <f t="shared" si="19"/>
        <v>0</v>
      </c>
    </row>
    <row r="217" spans="2:17">
      <c r="B217" s="2766" t="str">
        <f t="shared" si="13"/>
        <v>סה"כ יתר המשרות אחרים</v>
      </c>
      <c r="C217" s="2956">
        <f t="shared" si="3"/>
        <v>2.87</v>
      </c>
      <c r="D217" s="2766">
        <f t="shared" ref="D217:L217" si="22">D21</f>
        <v>0</v>
      </c>
      <c r="E217" s="2956">
        <f t="shared" si="22"/>
        <v>559.44000000000005</v>
      </c>
      <c r="F217" s="1613">
        <f t="shared" si="22"/>
        <v>0</v>
      </c>
      <c r="G217" s="2957">
        <f t="shared" si="22"/>
        <v>536.07000000000005</v>
      </c>
      <c r="H217" s="1613">
        <f t="shared" si="22"/>
        <v>0</v>
      </c>
      <c r="I217" s="2958">
        <f t="shared" si="22"/>
        <v>94491</v>
      </c>
      <c r="J217" s="1613">
        <f t="shared" si="22"/>
        <v>0</v>
      </c>
      <c r="K217" s="2956">
        <f t="shared" si="22"/>
        <v>176.26615927024454</v>
      </c>
      <c r="L217" s="1616">
        <f t="shared" si="22"/>
        <v>0</v>
      </c>
      <c r="M217" s="2958">
        <f t="shared" si="15"/>
        <v>523</v>
      </c>
      <c r="N217" s="1613">
        <f t="shared" si="7"/>
        <v>0</v>
      </c>
      <c r="O217" s="2958">
        <f t="shared" si="19"/>
        <v>88244</v>
      </c>
      <c r="P217" s="1613">
        <f t="shared" si="19"/>
        <v>0</v>
      </c>
      <c r="Q217" s="2956">
        <f t="shared" si="19"/>
        <v>168.72657743785851</v>
      </c>
    </row>
    <row r="218" spans="2:17" ht="6" customHeight="1">
      <c r="B218" s="2766"/>
      <c r="C218" s="1604"/>
      <c r="D218" s="1600"/>
      <c r="E218" s="1604"/>
      <c r="F218" s="1605"/>
      <c r="G218" s="1606"/>
      <c r="H218" s="1605"/>
      <c r="I218" s="1607"/>
      <c r="J218" s="1605"/>
      <c r="K218" s="1604"/>
      <c r="L218" s="1608"/>
      <c r="M218" s="1607"/>
      <c r="N218" s="1605"/>
      <c r="O218" s="1607"/>
      <c r="P218" s="1605"/>
      <c r="Q218" s="1604"/>
    </row>
    <row r="219" spans="2:17">
      <c r="B219" s="2766" t="str">
        <f t="shared" si="13"/>
        <v>סה"כ יתר המשרות</v>
      </c>
      <c r="C219" s="2956">
        <f t="shared" ref="C219:Q219" si="23">C23</f>
        <v>3.87</v>
      </c>
      <c r="D219" s="2766">
        <f t="shared" si="23"/>
        <v>0</v>
      </c>
      <c r="E219" s="2956">
        <f t="shared" si="23"/>
        <v>573.44000000000005</v>
      </c>
      <c r="F219" s="1613">
        <f t="shared" si="23"/>
        <v>0</v>
      </c>
      <c r="G219" s="2957">
        <f t="shared" si="23"/>
        <v>550.07000000000005</v>
      </c>
      <c r="H219" s="1613">
        <f t="shared" si="23"/>
        <v>0</v>
      </c>
      <c r="I219" s="2958">
        <f t="shared" si="23"/>
        <v>101501</v>
      </c>
      <c r="J219" s="1613">
        <f t="shared" si="23"/>
        <v>0</v>
      </c>
      <c r="K219" s="2956">
        <f t="shared" si="23"/>
        <v>184.52378788154232</v>
      </c>
      <c r="L219" s="1616">
        <f t="shared" si="23"/>
        <v>0</v>
      </c>
      <c r="M219" s="2958">
        <f t="shared" si="23"/>
        <v>536</v>
      </c>
      <c r="N219" s="1613">
        <f t="shared" si="23"/>
        <v>0</v>
      </c>
      <c r="O219" s="2958">
        <f t="shared" si="23"/>
        <v>94742</v>
      </c>
      <c r="P219" s="1613">
        <f t="shared" si="23"/>
        <v>0</v>
      </c>
      <c r="Q219" s="2956">
        <f t="shared" si="23"/>
        <v>176.75746268656715</v>
      </c>
    </row>
    <row r="220" spans="2:17">
      <c r="B220" s="1609" t="str">
        <f>IF(AND($B24&lt;&gt;"(***)",OR($D24&lt;&gt;0,$E24&lt;&gt;0,$F24&lt;&gt;0,$G24&lt;&gt;0,$H24&lt;&gt;0,$I24&lt;&gt;0,$J24&lt;&gt;0,$K24&lt;&gt;0,$L24&lt;&gt;0,$O24&lt;&gt;0,$P24&lt;&gt;0,$Q24&lt;&gt;0)),$B24,"")</f>
        <v/>
      </c>
      <c r="C220" s="1604">
        <f>C24</f>
        <v>0</v>
      </c>
      <c r="D220" s="1600">
        <f t="shared" ref="D220:O224" si="24">D24</f>
        <v>0</v>
      </c>
      <c r="E220" s="1604">
        <f t="shared" si="24"/>
        <v>0</v>
      </c>
      <c r="F220" s="1605">
        <f t="shared" si="24"/>
        <v>0</v>
      </c>
      <c r="G220" s="1606">
        <f t="shared" si="24"/>
        <v>0</v>
      </c>
      <c r="H220" s="1605">
        <f t="shared" si="24"/>
        <v>0</v>
      </c>
      <c r="I220" s="1607">
        <f t="shared" si="24"/>
        <v>0</v>
      </c>
      <c r="J220" s="1605">
        <f t="shared" si="24"/>
        <v>0</v>
      </c>
      <c r="K220" s="1604">
        <f t="shared" si="24"/>
        <v>0</v>
      </c>
      <c r="L220" s="1608">
        <f t="shared" si="24"/>
        <v>0</v>
      </c>
      <c r="M220" s="1607">
        <f t="shared" ref="M220:N222" si="25">M24</f>
        <v>0</v>
      </c>
      <c r="N220" s="1605">
        <f t="shared" si="25"/>
        <v>0</v>
      </c>
      <c r="O220" s="1607">
        <f t="shared" si="24"/>
        <v>0</v>
      </c>
      <c r="P220" s="1605">
        <f t="shared" ref="P220:Q222" si="26">P24</f>
        <v>0</v>
      </c>
      <c r="Q220" s="1604">
        <f t="shared" si="26"/>
        <v>0</v>
      </c>
    </row>
    <row r="221" spans="2:17">
      <c r="B221" s="1609" t="str">
        <f>IF(AND($B25&lt;&gt;"(***)",OR($D25&lt;&gt;0,$E25&lt;&gt;0,$F25&lt;&gt;0,$G25&lt;&gt;0,$H25&lt;&gt;0,$I25&lt;&gt;0,$J25&lt;&gt;0,$K25&lt;&gt;0,$L25&lt;&gt;0,$O25&lt;&gt;0,$P25&lt;&gt;0,$Q25&lt;&gt;0)),$B25,"")</f>
        <v/>
      </c>
      <c r="C221" s="1604">
        <f>C25</f>
        <v>0</v>
      </c>
      <c r="D221" s="1600">
        <f t="shared" si="24"/>
        <v>0</v>
      </c>
      <c r="E221" s="1604">
        <f t="shared" si="24"/>
        <v>0</v>
      </c>
      <c r="F221" s="1605">
        <f t="shared" si="24"/>
        <v>0</v>
      </c>
      <c r="G221" s="1606">
        <f t="shared" si="24"/>
        <v>0</v>
      </c>
      <c r="H221" s="1605">
        <f t="shared" si="24"/>
        <v>0</v>
      </c>
      <c r="I221" s="1607">
        <f t="shared" si="24"/>
        <v>0</v>
      </c>
      <c r="J221" s="1605">
        <f t="shared" si="24"/>
        <v>0</v>
      </c>
      <c r="K221" s="1604">
        <f t="shared" si="24"/>
        <v>0</v>
      </c>
      <c r="L221" s="1608">
        <f t="shared" si="24"/>
        <v>0</v>
      </c>
      <c r="M221" s="1607">
        <f t="shared" si="25"/>
        <v>0</v>
      </c>
      <c r="N221" s="1605">
        <f t="shared" si="25"/>
        <v>0</v>
      </c>
      <c r="O221" s="1607">
        <f t="shared" si="24"/>
        <v>0</v>
      </c>
      <c r="P221" s="1605">
        <f t="shared" si="26"/>
        <v>0</v>
      </c>
      <c r="Q221" s="1604">
        <f t="shared" si="26"/>
        <v>0</v>
      </c>
    </row>
    <row r="222" spans="2:17">
      <c r="B222" s="2766" t="str">
        <f>IF(AND($B26&lt;&gt;"(***)",OR($D26&lt;&gt;0,$E26&lt;&gt;0,$F26&lt;&gt;0,$G26&lt;&gt;0,$H26&lt;&gt;0,$I26&lt;&gt;0,$J26&lt;&gt;0,$K26&lt;&gt;0,$L26&lt;&gt;0,$O26&lt;&gt;0,$P26&lt;&gt;0,$Q26&lt;&gt;0)),$B26,"")</f>
        <v/>
      </c>
      <c r="C222" s="2956">
        <f>C26</f>
        <v>0</v>
      </c>
      <c r="D222" s="2766">
        <f t="shared" si="24"/>
        <v>0</v>
      </c>
      <c r="E222" s="2956">
        <f t="shared" si="24"/>
        <v>0</v>
      </c>
      <c r="F222" s="1613">
        <f t="shared" si="24"/>
        <v>0</v>
      </c>
      <c r="G222" s="2957">
        <f t="shared" si="24"/>
        <v>0</v>
      </c>
      <c r="H222" s="1613">
        <f t="shared" si="24"/>
        <v>0</v>
      </c>
      <c r="I222" s="2958">
        <f t="shared" si="24"/>
        <v>0</v>
      </c>
      <c r="J222" s="1613">
        <f t="shared" si="24"/>
        <v>0</v>
      </c>
      <c r="K222" s="2956">
        <f t="shared" si="24"/>
        <v>0</v>
      </c>
      <c r="L222" s="1616">
        <f t="shared" si="24"/>
        <v>0</v>
      </c>
      <c r="M222" s="2958">
        <f t="shared" si="25"/>
        <v>0</v>
      </c>
      <c r="N222" s="1613">
        <f t="shared" si="25"/>
        <v>0</v>
      </c>
      <c r="O222" s="2958">
        <f t="shared" si="24"/>
        <v>0</v>
      </c>
      <c r="P222" s="1613">
        <f t="shared" si="26"/>
        <v>0</v>
      </c>
      <c r="Q222" s="2956">
        <f t="shared" si="26"/>
        <v>0</v>
      </c>
    </row>
    <row r="223" spans="2:17" ht="6" customHeight="1">
      <c r="B223" s="2766"/>
      <c r="C223" s="1604"/>
      <c r="D223" s="1600"/>
      <c r="E223" s="1604"/>
      <c r="F223" s="1605"/>
      <c r="G223" s="1606"/>
      <c r="H223" s="1605"/>
      <c r="I223" s="1607"/>
      <c r="J223" s="1605"/>
      <c r="K223" s="1604"/>
      <c r="L223" s="1608"/>
      <c r="M223" s="1607"/>
      <c r="N223" s="1605"/>
      <c r="O223" s="1607"/>
      <c r="P223" s="1605"/>
      <c r="Q223" s="1604"/>
    </row>
    <row r="224" spans="2:17">
      <c r="B224" s="2766" t="str">
        <f>IF(AND($D28=0,$E28=0,$F28=0,$G28=0,$H28=0,$I28=0,$J28=0,$K28=0,$L28=0,$O28=0,$P28=0,$Q28=0),"",$B28)</f>
        <v>סה"כ</v>
      </c>
      <c r="C224" s="2956">
        <f>C28</f>
        <v>803.89</v>
      </c>
      <c r="D224" s="2766">
        <f t="shared" ref="D224:O224" si="27">D28</f>
        <v>0</v>
      </c>
      <c r="E224" s="2956">
        <f t="shared" si="27"/>
        <v>1632.18</v>
      </c>
      <c r="F224" s="1613">
        <f t="shared" si="27"/>
        <v>0</v>
      </c>
      <c r="G224" s="2957">
        <f t="shared" si="27"/>
        <v>1597.9900000000002</v>
      </c>
      <c r="H224" s="1613">
        <f t="shared" si="27"/>
        <v>0</v>
      </c>
      <c r="I224" s="2958">
        <f t="shared" si="27"/>
        <v>267114</v>
      </c>
      <c r="J224" s="1613">
        <f t="shared" si="27"/>
        <v>0</v>
      </c>
      <c r="K224" s="2956">
        <f t="shared" si="24"/>
        <v>167.15624002653331</v>
      </c>
      <c r="L224" s="1616">
        <f t="shared" si="27"/>
        <v>0</v>
      </c>
      <c r="M224" s="2958">
        <f t="shared" ref="M224:N228" si="28">M28</f>
        <v>1518</v>
      </c>
      <c r="N224" s="1613">
        <f t="shared" si="28"/>
        <v>0</v>
      </c>
      <c r="O224" s="2958">
        <f t="shared" si="27"/>
        <v>254009</v>
      </c>
      <c r="P224" s="1613">
        <f t="shared" ref="P224:Q226" si="29">P28</f>
        <v>0</v>
      </c>
      <c r="Q224" s="2956">
        <f t="shared" si="29"/>
        <v>167.33135704874834</v>
      </c>
    </row>
    <row r="225" spans="2:17">
      <c r="B225" s="1600" t="str">
        <f>IF(AND($D29=0,$E29=0,$F29=0,$G29=0,$H29=0,$I29=0,$J29=0,$K29=0,$L29=0,$O29=0,$P29=0,$Q29=0),"",$B29)</f>
        <v xml:space="preserve">נבחרים  </v>
      </c>
      <c r="C225" s="1604">
        <f>C29</f>
        <v>0</v>
      </c>
      <c r="D225" s="1600">
        <f t="shared" ref="D225:O225" si="30">D29</f>
        <v>0</v>
      </c>
      <c r="E225" s="1604">
        <f t="shared" si="30"/>
        <v>0</v>
      </c>
      <c r="F225" s="1605">
        <f t="shared" si="30"/>
        <v>0</v>
      </c>
      <c r="G225" s="1606">
        <f t="shared" si="30"/>
        <v>3</v>
      </c>
      <c r="H225" s="1605">
        <f t="shared" si="30"/>
        <v>0</v>
      </c>
      <c r="I225" s="1607">
        <f t="shared" si="30"/>
        <v>2045</v>
      </c>
      <c r="J225" s="1605">
        <f t="shared" si="30"/>
        <v>0</v>
      </c>
      <c r="K225" s="1604">
        <f t="shared" si="30"/>
        <v>681.66666666666663</v>
      </c>
      <c r="L225" s="1608">
        <f t="shared" si="30"/>
        <v>0</v>
      </c>
      <c r="M225" s="1607">
        <f t="shared" si="28"/>
        <v>3</v>
      </c>
      <c r="N225" s="1605">
        <f t="shared" si="28"/>
        <v>0</v>
      </c>
      <c r="O225" s="1607">
        <f t="shared" si="30"/>
        <v>1957</v>
      </c>
      <c r="P225" s="1605">
        <f t="shared" si="29"/>
        <v>0</v>
      </c>
      <c r="Q225" s="1604">
        <f t="shared" si="29"/>
        <v>652.33333333333337</v>
      </c>
    </row>
    <row r="226" spans="2:17">
      <c r="B226" s="1600" t="str">
        <f>IF(AND($D30=0,$E30=0,$F30=0,$G30=0,$H30=0,$I30=0,$J30=0,$K30=0,$L30=0,$O30=0,$P30=0,$Q30=0),"",$B30)</f>
        <v>פנסיונרים</v>
      </c>
      <c r="C226" s="1610">
        <f>C30</f>
        <v>0</v>
      </c>
      <c r="D226" s="1600">
        <f t="shared" ref="D226:L226" si="31">D30</f>
        <v>0</v>
      </c>
      <c r="E226" s="1610">
        <f t="shared" si="31"/>
        <v>0</v>
      </c>
      <c r="F226" s="1605">
        <f t="shared" si="31"/>
        <v>0</v>
      </c>
      <c r="G226" s="1606">
        <f t="shared" si="31"/>
        <v>338.32</v>
      </c>
      <c r="H226" s="1605">
        <f t="shared" si="31"/>
        <v>0</v>
      </c>
      <c r="I226" s="1607">
        <f t="shared" si="31"/>
        <v>45198</v>
      </c>
      <c r="J226" s="1605">
        <f t="shared" si="31"/>
        <v>0</v>
      </c>
      <c r="K226" s="1604">
        <f t="shared" si="31"/>
        <v>133.5954126270986</v>
      </c>
      <c r="L226" s="1608">
        <f t="shared" si="31"/>
        <v>0</v>
      </c>
      <c r="M226" s="1607">
        <f t="shared" si="28"/>
        <v>323</v>
      </c>
      <c r="N226" s="1605">
        <f t="shared" si="28"/>
        <v>0</v>
      </c>
      <c r="O226" s="1607">
        <f>O30</f>
        <v>43339</v>
      </c>
      <c r="P226" s="1605">
        <f t="shared" si="29"/>
        <v>0</v>
      </c>
      <c r="Q226" s="1604">
        <f t="shared" si="29"/>
        <v>134.1764705882353</v>
      </c>
    </row>
    <row r="227" spans="2:17">
      <c r="B227" s="1600" t="str">
        <f>IF(AND($D31=0,$E31=0,$F31=0,$G31=0,$H31=0,$I31=0,$J31=0,$K31=0,$L31=0,$O31=0,$P31=0,$Q31=0),"",$B31)</f>
        <v/>
      </c>
      <c r="C227" s="1610">
        <f t="shared" ref="C227:C232" si="32">C31</f>
        <v>0</v>
      </c>
      <c r="D227" s="1600">
        <f t="shared" ref="D227:O228" si="33">D31</f>
        <v>0</v>
      </c>
      <c r="E227" s="1610">
        <f t="shared" si="33"/>
        <v>0</v>
      </c>
      <c r="F227" s="1605">
        <f t="shared" si="33"/>
        <v>0</v>
      </c>
      <c r="G227" s="1606">
        <f t="shared" si="33"/>
        <v>0</v>
      </c>
      <c r="H227" s="1605">
        <f t="shared" si="33"/>
        <v>0</v>
      </c>
      <c r="I227" s="1607">
        <f t="shared" si="33"/>
        <v>0</v>
      </c>
      <c r="J227" s="1605">
        <f t="shared" si="33"/>
        <v>0</v>
      </c>
      <c r="K227" s="1604">
        <f t="shared" si="33"/>
        <v>0</v>
      </c>
      <c r="L227" s="1608">
        <f t="shared" si="33"/>
        <v>0</v>
      </c>
      <c r="M227" s="1607">
        <f t="shared" si="28"/>
        <v>0</v>
      </c>
      <c r="N227" s="1605">
        <f t="shared" si="28"/>
        <v>0</v>
      </c>
      <c r="O227" s="1607">
        <f t="shared" si="33"/>
        <v>0</v>
      </c>
      <c r="P227" s="1605">
        <f t="shared" ref="P227:Q231" si="34">P31</f>
        <v>0</v>
      </c>
      <c r="Q227" s="1604">
        <f t="shared" si="34"/>
        <v>0</v>
      </c>
    </row>
    <row r="228" spans="2:17">
      <c r="B228" s="1600" t="str">
        <f>IF(AND($D32=0,$E32=0,$F32=0,$G32=0,$H32=0,$I32=0,$J32=0,$K32=0,$L32=0,$O32=0,$P32=0,$Q32=0),"",$B32)</f>
        <v>הוצאות בגין סיום יחסי עובד מעביד אחרים</v>
      </c>
      <c r="C228" s="1610">
        <f t="shared" si="32"/>
        <v>0</v>
      </c>
      <c r="D228" s="1600">
        <f t="shared" si="33"/>
        <v>0</v>
      </c>
      <c r="E228" s="1610">
        <f t="shared" si="33"/>
        <v>0</v>
      </c>
      <c r="F228" s="1605">
        <f t="shared" si="33"/>
        <v>0</v>
      </c>
      <c r="G228" s="1606">
        <f t="shared" si="33"/>
        <v>0</v>
      </c>
      <c r="H228" s="1605">
        <f t="shared" si="33"/>
        <v>0</v>
      </c>
      <c r="I228" s="1607">
        <f t="shared" si="33"/>
        <v>5545</v>
      </c>
      <c r="J228" s="1605">
        <f t="shared" si="33"/>
        <v>0</v>
      </c>
      <c r="K228" s="1604">
        <f t="shared" si="33"/>
        <v>0</v>
      </c>
      <c r="L228" s="1608">
        <f t="shared" si="33"/>
        <v>0</v>
      </c>
      <c r="M228" s="1607">
        <f t="shared" si="28"/>
        <v>0</v>
      </c>
      <c r="N228" s="1605">
        <f t="shared" si="28"/>
        <v>0</v>
      </c>
      <c r="O228" s="1607">
        <f t="shared" si="33"/>
        <v>4466</v>
      </c>
      <c r="P228" s="1605">
        <f t="shared" si="34"/>
        <v>0</v>
      </c>
      <c r="Q228" s="1604">
        <f t="shared" si="34"/>
        <v>0</v>
      </c>
    </row>
    <row r="229" spans="2:17">
      <c r="B229" s="1609" t="str">
        <f>IF(AND($B33&lt;&gt;"(***)",OR($D33&lt;&gt;0,$E33&lt;&gt;0,$F33&lt;&gt;0,$G33&lt;&gt;0,$H33&lt;&gt;0,$I33&lt;&gt;0,$J33&lt;&gt;0,$K33&lt;&gt;0,$L33&lt;&gt;0,$O33&lt;&gt;0,$P33&lt;&gt;0,$Q33&lt;&gt;0)),$B33,"")</f>
        <v/>
      </c>
      <c r="C229" s="1610">
        <f t="shared" si="32"/>
        <v>0</v>
      </c>
      <c r="D229" s="1600">
        <f t="shared" ref="D229:O231" si="35">D33</f>
        <v>0</v>
      </c>
      <c r="E229" s="1610">
        <f t="shared" si="35"/>
        <v>0</v>
      </c>
      <c r="F229" s="1605">
        <f t="shared" si="35"/>
        <v>0</v>
      </c>
      <c r="G229" s="1606">
        <f t="shared" si="35"/>
        <v>0</v>
      </c>
      <c r="H229" s="1605">
        <f t="shared" si="35"/>
        <v>0</v>
      </c>
      <c r="I229" s="1611">
        <f t="shared" si="35"/>
        <v>0</v>
      </c>
      <c r="J229" s="1605">
        <f t="shared" si="35"/>
        <v>0</v>
      </c>
      <c r="K229" s="1604">
        <f t="shared" si="35"/>
        <v>0</v>
      </c>
      <c r="L229" s="1608">
        <f t="shared" si="35"/>
        <v>0</v>
      </c>
      <c r="M229" s="1607">
        <f t="shared" ref="M229:N232" si="36">M33</f>
        <v>0</v>
      </c>
      <c r="N229" s="1605">
        <f t="shared" si="36"/>
        <v>0</v>
      </c>
      <c r="O229" s="1607">
        <f t="shared" si="35"/>
        <v>0</v>
      </c>
      <c r="P229" s="1605">
        <f t="shared" si="34"/>
        <v>0</v>
      </c>
      <c r="Q229" s="1604">
        <f t="shared" si="34"/>
        <v>0</v>
      </c>
    </row>
    <row r="230" spans="2:17">
      <c r="B230" s="2766" t="str">
        <f>IF(AND($D34=0,$E34=0,$F34=0,$G34=0,$H34=0,$I34=0,$J34=0,$K34=0,$L34=0,$O34=0,$P34=0,$Q34=0),"",$B34)</f>
        <v>סה"כ עובדים בתקן</v>
      </c>
      <c r="C230" s="1610">
        <f t="shared" si="32"/>
        <v>0</v>
      </c>
      <c r="D230" s="2766">
        <f t="shared" si="35"/>
        <v>0</v>
      </c>
      <c r="E230" s="2956">
        <f t="shared" si="35"/>
        <v>1632.18</v>
      </c>
      <c r="F230" s="1613">
        <f t="shared" si="35"/>
        <v>0</v>
      </c>
      <c r="G230" s="2957">
        <f t="shared" si="35"/>
        <v>1939.3100000000002</v>
      </c>
      <c r="H230" s="1613">
        <f t="shared" si="35"/>
        <v>0</v>
      </c>
      <c r="I230" s="2958">
        <f t="shared" si="35"/>
        <v>319902</v>
      </c>
      <c r="J230" s="1613">
        <f t="shared" si="35"/>
        <v>0</v>
      </c>
      <c r="K230" s="2956">
        <f t="shared" si="35"/>
        <v>164.95660827820203</v>
      </c>
      <c r="L230" s="1616">
        <f t="shared" si="35"/>
        <v>0</v>
      </c>
      <c r="M230" s="2958">
        <f t="shared" si="36"/>
        <v>1844</v>
      </c>
      <c r="N230" s="1613">
        <f t="shared" si="36"/>
        <v>0</v>
      </c>
      <c r="O230" s="2958">
        <f t="shared" si="35"/>
        <v>303771</v>
      </c>
      <c r="P230" s="1613">
        <f t="shared" si="34"/>
        <v>0</v>
      </c>
      <c r="Q230" s="2956">
        <f t="shared" si="34"/>
        <v>164.73481561822126</v>
      </c>
    </row>
    <row r="231" spans="2:17">
      <c r="B231" s="1609" t="str">
        <f>IF(AND($D35=0,$E35=0,$F35=0,$G35=0,$H35=0,$I35=0,$J35=0,$K35=0,$L35=0,$O35=0,$P35=0,$Q35=0),"",$B35)</f>
        <v/>
      </c>
      <c r="C231" s="1610">
        <f t="shared" si="32"/>
        <v>0</v>
      </c>
      <c r="D231" s="1600">
        <f t="shared" si="35"/>
        <v>0</v>
      </c>
      <c r="E231" s="1604">
        <f t="shared" si="35"/>
        <v>0</v>
      </c>
      <c r="F231" s="1605">
        <f t="shared" si="35"/>
        <v>0</v>
      </c>
      <c r="G231" s="1606">
        <f t="shared" si="35"/>
        <v>0</v>
      </c>
      <c r="H231" s="1605">
        <f t="shared" si="35"/>
        <v>0</v>
      </c>
      <c r="I231" s="1607">
        <f t="shared" si="35"/>
        <v>0</v>
      </c>
      <c r="J231" s="1605">
        <f t="shared" si="35"/>
        <v>0</v>
      </c>
      <c r="K231" s="1604">
        <f t="shared" si="35"/>
        <v>0</v>
      </c>
      <c r="L231" s="1608">
        <f t="shared" si="35"/>
        <v>0</v>
      </c>
      <c r="M231" s="1607">
        <f t="shared" si="36"/>
        <v>0</v>
      </c>
      <c r="N231" s="1605">
        <f t="shared" si="36"/>
        <v>0</v>
      </c>
      <c r="O231" s="1607">
        <f t="shared" si="35"/>
        <v>0</v>
      </c>
      <c r="P231" s="1605">
        <f t="shared" si="34"/>
        <v>0</v>
      </c>
      <c r="Q231" s="1604">
        <f t="shared" si="34"/>
        <v>0</v>
      </c>
    </row>
    <row r="232" spans="2:17" ht="13.8" thickBot="1">
      <c r="B232" s="1600" t="str">
        <f>IF(AND($D36=0,$E36=0,$F36=0,$G36=0,$H36=0,$I36=0,$J36=0,$K36=0,$L36=0,$O36=0,$P36=0,$Q36=0),"",$B36)</f>
        <v>סה"כ כללי</v>
      </c>
      <c r="C232" s="1610">
        <f t="shared" si="32"/>
        <v>0</v>
      </c>
      <c r="D232" s="1600">
        <f t="shared" ref="D232:O232" si="37">D36</f>
        <v>0</v>
      </c>
      <c r="E232" s="1612">
        <f t="shared" si="37"/>
        <v>1632.18</v>
      </c>
      <c r="F232" s="1613">
        <f t="shared" si="37"/>
        <v>0</v>
      </c>
      <c r="G232" s="1614">
        <f t="shared" si="37"/>
        <v>1939.3100000000002</v>
      </c>
      <c r="H232" s="1613">
        <f t="shared" si="37"/>
        <v>0</v>
      </c>
      <c r="I232" s="1615">
        <f t="shared" si="37"/>
        <v>319902</v>
      </c>
      <c r="J232" s="1613">
        <f t="shared" si="37"/>
        <v>0</v>
      </c>
      <c r="K232" s="1612">
        <f t="shared" si="37"/>
        <v>164.95660827820203</v>
      </c>
      <c r="L232" s="1616">
        <f t="shared" si="37"/>
        <v>0</v>
      </c>
      <c r="M232" s="1615">
        <f t="shared" si="36"/>
        <v>1844</v>
      </c>
      <c r="N232" s="1613">
        <f t="shared" si="36"/>
        <v>0</v>
      </c>
      <c r="O232" s="1615">
        <f t="shared" si="37"/>
        <v>303771</v>
      </c>
      <c r="P232" s="1613">
        <f>P36</f>
        <v>0</v>
      </c>
      <c r="Q232" s="1612">
        <f>Q36</f>
        <v>164.73481561822126</v>
      </c>
    </row>
    <row r="233" spans="2:17" ht="15.75" customHeight="1" thickTop="1">
      <c r="B233" s="3593" t="str">
        <f>B39</f>
        <v>הערות:</v>
      </c>
      <c r="C233" s="3593"/>
      <c r="D233" s="3593"/>
      <c r="E233" s="3593"/>
      <c r="F233" s="1617">
        <f t="shared" ref="F233:O233" si="38">F39</f>
        <v>0</v>
      </c>
      <c r="G233" s="1617">
        <f t="shared" si="38"/>
        <v>0</v>
      </c>
      <c r="H233" s="1617">
        <f t="shared" si="38"/>
        <v>0</v>
      </c>
      <c r="I233" s="1617">
        <f t="shared" si="38"/>
        <v>0</v>
      </c>
      <c r="J233" s="1617">
        <f t="shared" si="38"/>
        <v>0</v>
      </c>
      <c r="K233" s="1617">
        <f t="shared" si="38"/>
        <v>0</v>
      </c>
      <c r="L233" s="1617">
        <f t="shared" si="38"/>
        <v>0</v>
      </c>
      <c r="M233" s="1617">
        <f>M39</f>
        <v>0</v>
      </c>
      <c r="N233" s="1617">
        <f>N39</f>
        <v>0</v>
      </c>
      <c r="O233" s="1617">
        <f t="shared" si="38"/>
        <v>0</v>
      </c>
      <c r="P233" s="1617">
        <f>P39</f>
        <v>0</v>
      </c>
      <c r="Q233" s="1617"/>
    </row>
    <row r="234" spans="2:17" ht="12" customHeight="1">
      <c r="B234" s="1618">
        <f t="shared" ref="B234" si="39">B40</f>
        <v>0</v>
      </c>
      <c r="C234" s="1618"/>
      <c r="D234" s="1618"/>
      <c r="E234" s="1618"/>
      <c r="F234" s="1618"/>
      <c r="G234" s="1618"/>
      <c r="H234" s="1618"/>
      <c r="I234" s="1618"/>
      <c r="J234" s="1618"/>
      <c r="K234" s="1618"/>
      <c r="L234" s="1618"/>
      <c r="M234" s="1618"/>
      <c r="N234" s="1618"/>
      <c r="O234" s="1618"/>
      <c r="P234" s="1618"/>
      <c r="Q234" s="1618"/>
    </row>
    <row r="235" spans="2:17" ht="12" customHeight="1">
      <c r="B235" s="1618">
        <f t="shared" ref="B235" si="40">B41</f>
        <v>0</v>
      </c>
      <c r="C235" s="1618"/>
      <c r="D235" s="1618"/>
      <c r="E235" s="1618"/>
      <c r="F235" s="1618"/>
      <c r="G235" s="1618"/>
      <c r="H235" s="1618"/>
      <c r="I235" s="1618"/>
      <c r="J235" s="1618"/>
      <c r="K235" s="1618"/>
      <c r="L235" s="1618"/>
      <c r="M235" s="1618"/>
      <c r="N235" s="1618"/>
      <c r="O235" s="1618"/>
      <c r="P235" s="1618"/>
      <c r="Q235" s="1618"/>
    </row>
    <row r="236" spans="2:17" ht="12" customHeight="1">
      <c r="B236" s="1618">
        <f t="shared" ref="B236" si="41">B42</f>
        <v>0</v>
      </c>
      <c r="C236" s="1618"/>
      <c r="D236" s="1618"/>
      <c r="E236" s="1618"/>
      <c r="F236" s="1618"/>
      <c r="G236" s="1618"/>
      <c r="H236" s="1618"/>
      <c r="I236" s="1618"/>
      <c r="J236" s="1618"/>
      <c r="K236" s="1618"/>
      <c r="L236" s="1618"/>
      <c r="M236" s="1618"/>
      <c r="N236" s="1618"/>
      <c r="O236" s="1618"/>
      <c r="P236" s="1618"/>
      <c r="Q236" s="1618"/>
    </row>
    <row r="237" spans="2:17" ht="12" customHeight="1">
      <c r="B237" s="1618">
        <f t="shared" ref="B237" si="42">B43</f>
        <v>0</v>
      </c>
      <c r="C237" s="1618"/>
      <c r="D237" s="1618"/>
      <c r="E237" s="1618"/>
      <c r="F237" s="1618"/>
      <c r="G237" s="1618"/>
      <c r="H237" s="1618"/>
      <c r="I237" s="1618"/>
      <c r="J237" s="1618"/>
      <c r="K237" s="1618"/>
      <c r="L237" s="1618"/>
      <c r="M237" s="1618"/>
      <c r="N237" s="1618"/>
      <c r="O237" s="1618"/>
      <c r="P237" s="1618"/>
      <c r="Q237" s="1618"/>
    </row>
    <row r="238" spans="2:17" ht="12" customHeight="1">
      <c r="B238" s="1618">
        <f t="shared" ref="B238" si="43">B44</f>
        <v>0</v>
      </c>
      <c r="C238" s="1618"/>
      <c r="D238" s="1618"/>
      <c r="E238" s="1618"/>
      <c r="F238" s="1618"/>
      <c r="G238" s="1618"/>
      <c r="H238" s="1618"/>
      <c r="I238" s="1618"/>
      <c r="J238" s="1618"/>
      <c r="K238" s="1618"/>
      <c r="L238" s="1618"/>
      <c r="M238" s="1618"/>
      <c r="N238" s="1618"/>
      <c r="O238" s="1618"/>
      <c r="P238" s="1618"/>
      <c r="Q238" s="1618"/>
    </row>
    <row r="239" spans="2:17" ht="12" customHeight="1">
      <c r="B239" s="1618">
        <f t="shared" ref="B239" si="44">B45</f>
        <v>0</v>
      </c>
      <c r="C239" s="1618"/>
      <c r="D239" s="1618"/>
      <c r="E239" s="1618"/>
      <c r="F239" s="1618"/>
      <c r="G239" s="1618"/>
      <c r="H239" s="1618"/>
      <c r="I239" s="1618"/>
      <c r="J239" s="1618"/>
      <c r="K239" s="1618"/>
      <c r="L239" s="1618"/>
      <c r="M239" s="1618"/>
      <c r="N239" s="1618"/>
      <c r="O239" s="1618"/>
      <c r="P239" s="1618"/>
      <c r="Q239" s="1618"/>
    </row>
    <row r="240" spans="2:17" ht="12" customHeight="1">
      <c r="B240" s="1618">
        <f>B46</f>
        <v>0</v>
      </c>
      <c r="C240" s="1618"/>
      <c r="D240" s="1618"/>
      <c r="E240" s="1618"/>
      <c r="F240" s="1618"/>
      <c r="G240" s="1618"/>
      <c r="H240" s="1618"/>
      <c r="I240" s="1618"/>
      <c r="J240" s="1618"/>
      <c r="K240" s="1618"/>
      <c r="L240" s="1618"/>
      <c r="M240" s="1618"/>
      <c r="N240" s="1618"/>
      <c r="O240" s="1618"/>
      <c r="P240" s="1618"/>
      <c r="Q240" s="1618"/>
    </row>
    <row r="241" spans="2:17" ht="12" customHeight="1">
      <c r="B241" s="1618">
        <f t="shared" ref="B241" si="45">B47</f>
        <v>0</v>
      </c>
      <c r="C241" s="1618"/>
      <c r="D241" s="1618"/>
      <c r="E241" s="1618"/>
      <c r="F241" s="1618"/>
      <c r="G241" s="1618"/>
      <c r="H241" s="1618"/>
      <c r="I241" s="1618"/>
      <c r="J241" s="1618"/>
      <c r="K241" s="1618"/>
      <c r="L241" s="1618"/>
      <c r="M241" s="1618"/>
      <c r="N241" s="1618"/>
      <c r="O241" s="1618"/>
      <c r="P241" s="1618"/>
      <c r="Q241" s="1618"/>
    </row>
    <row r="242" spans="2:17" ht="12" customHeight="1">
      <c r="B242" s="1618">
        <f t="shared" ref="B242" si="46">B48</f>
        <v>0</v>
      </c>
      <c r="C242" s="1618"/>
      <c r="D242" s="1618"/>
      <c r="E242" s="1618"/>
      <c r="F242" s="1618"/>
      <c r="G242" s="1618"/>
      <c r="H242" s="1618"/>
      <c r="I242" s="1618"/>
      <c r="J242" s="1618"/>
      <c r="K242" s="1618"/>
      <c r="L242" s="1618"/>
      <c r="M242" s="1618"/>
      <c r="N242" s="1618"/>
      <c r="O242" s="1618"/>
      <c r="P242" s="1618"/>
      <c r="Q242" s="1618"/>
    </row>
    <row r="243" spans="2:17" ht="12" customHeight="1">
      <c r="B243" s="1618">
        <f t="shared" ref="B243" si="47">B49</f>
        <v>0</v>
      </c>
      <c r="C243" s="1618"/>
      <c r="D243" s="1618"/>
      <c r="E243" s="1618"/>
      <c r="F243" s="1618"/>
      <c r="G243" s="1618"/>
      <c r="H243" s="1618"/>
      <c r="I243" s="1618"/>
      <c r="J243" s="1618"/>
      <c r="K243" s="1618"/>
      <c r="L243" s="1618"/>
      <c r="M243" s="1618"/>
      <c r="N243" s="1618"/>
      <c r="O243" s="1618"/>
      <c r="P243" s="1618"/>
      <c r="Q243" s="1618"/>
    </row>
    <row r="244" spans="2:17" ht="12" customHeight="1">
      <c r="B244" s="1618">
        <f t="shared" ref="B244" si="48">B50</f>
        <v>0</v>
      </c>
      <c r="C244" s="1618"/>
      <c r="D244" s="1618"/>
      <c r="E244" s="1618"/>
      <c r="F244" s="1618"/>
      <c r="G244" s="1618"/>
      <c r="H244" s="1618"/>
      <c r="I244" s="1618"/>
      <c r="J244" s="1618"/>
      <c r="K244" s="1618"/>
      <c r="L244" s="1618"/>
      <c r="M244" s="1618"/>
      <c r="N244" s="1618"/>
      <c r="O244" s="1618"/>
      <c r="P244" s="1618"/>
      <c r="Q244" s="1618"/>
    </row>
    <row r="245" spans="2:17" ht="12" customHeight="1">
      <c r="B245" s="1618">
        <f t="shared" ref="B245" si="49">B51</f>
        <v>0</v>
      </c>
      <c r="C245" s="1618"/>
      <c r="D245" s="1618"/>
      <c r="E245" s="1618"/>
      <c r="F245" s="1618"/>
      <c r="G245" s="1618"/>
      <c r="H245" s="1618"/>
      <c r="I245" s="1618"/>
      <c r="J245" s="1618"/>
      <c r="K245" s="1618"/>
      <c r="L245" s="1618"/>
      <c r="M245" s="1618"/>
      <c r="N245" s="1618"/>
      <c r="O245" s="1618"/>
      <c r="P245" s="1618"/>
      <c r="Q245" s="1618"/>
    </row>
    <row r="246" spans="2:17" ht="12" customHeight="1">
      <c r="B246" s="1618">
        <f t="shared" ref="B246" si="50">B52</f>
        <v>0</v>
      </c>
      <c r="C246" s="1618"/>
      <c r="D246" s="1618"/>
      <c r="E246" s="1618"/>
      <c r="F246" s="1618"/>
      <c r="G246" s="1618"/>
      <c r="H246" s="1618"/>
      <c r="I246" s="1618"/>
      <c r="J246" s="1618"/>
      <c r="K246" s="1618"/>
      <c r="L246" s="1618"/>
      <c r="M246" s="1618"/>
      <c r="N246" s="1618"/>
      <c r="O246" s="1618"/>
      <c r="P246" s="1618"/>
      <c r="Q246" s="1618"/>
    </row>
    <row r="247" spans="2:17" ht="12" customHeight="1">
      <c r="B247" s="1618">
        <f t="shared" ref="B247" si="51">B53</f>
        <v>0</v>
      </c>
      <c r="C247" s="1618"/>
      <c r="D247" s="1618"/>
      <c r="E247" s="1618"/>
      <c r="F247" s="1618"/>
      <c r="G247" s="1618"/>
      <c r="H247" s="1618"/>
      <c r="I247" s="1618"/>
      <c r="J247" s="1618"/>
      <c r="K247" s="1618"/>
      <c r="L247" s="1618"/>
      <c r="M247" s="1618"/>
      <c r="N247" s="1618"/>
      <c r="O247" s="1618"/>
      <c r="P247" s="1618"/>
      <c r="Q247" s="1618"/>
    </row>
  </sheetData>
  <sheetProtection password="83C1" sheet="1" objects="1" scenarios="1"/>
  <mergeCells count="7">
    <mergeCell ref="B233:E233"/>
    <mergeCell ref="G1:Q1"/>
    <mergeCell ref="G2:Q2"/>
    <mergeCell ref="O4:Q4"/>
    <mergeCell ref="B196:Q196"/>
    <mergeCell ref="B195:Q195"/>
    <mergeCell ref="M4:N4"/>
  </mergeCells>
  <phoneticPr fontId="4" type="noConversion"/>
  <hyperlinks>
    <hyperlink ref="A3" location="'תוכן הענינים'!A1" tooltip="לחץ להצגת גליון תוכן הענינים" display="הצג תוכן ענינים"/>
  </hyperlinks>
  <printOptions horizontalCentered="1"/>
  <pageMargins left="0.27559055118110198" right="0.31496062992126" top="0.37" bottom="0.35" header="0.24" footer="3.9370078740157501E-2"/>
  <pageSetup paperSize="9" scale="79" firstPageNumber="27" orientation="landscape" blackAndWhite="1" horizontalDpi="300" verticalDpi="300" r:id="rId1"/>
  <headerFooter alignWithMargins="0">
    <oddHeader>&amp;L&amp;8&amp;A</oddHeader>
    <oddFooter>&amp;C&amp;8&amp;P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52">
    <pageSetUpPr autoPageBreaks="0"/>
  </sheetPr>
  <dimension ref="A1:E39"/>
  <sheetViews>
    <sheetView showGridLines="0" showRowColHeaders="0" showZeros="0" rightToLeft="1" showOutlineSymbols="0" zoomScaleNormal="100" workbookViewId="0">
      <selection activeCell="B9" sqref="B9"/>
    </sheetView>
  </sheetViews>
  <sheetFormatPr defaultColWidth="9.109375" defaultRowHeight="13.2"/>
  <cols>
    <col min="1" max="1" width="2.33203125" style="674" customWidth="1"/>
    <col min="2" max="2" width="84.44140625" style="674" customWidth="1"/>
    <col min="3" max="3" width="9.109375" style="674"/>
    <col min="4" max="4" width="0.109375" style="674" customWidth="1"/>
    <col min="5" max="16384" width="9.109375" style="674"/>
  </cols>
  <sheetData>
    <row r="1" spans="1:5" ht="14.25" customHeight="1">
      <c r="A1" s="801"/>
      <c r="B1" s="7" t="s">
        <v>339</v>
      </c>
      <c r="C1" s="801"/>
      <c r="D1" s="801"/>
      <c r="E1" s="677"/>
    </row>
    <row r="2" spans="1:5" ht="14.25" customHeight="1">
      <c r="A2" s="801"/>
      <c r="B2" s="7"/>
      <c r="C2" s="801"/>
      <c r="D2" s="801"/>
      <c r="E2" s="677"/>
    </row>
    <row r="3" spans="1:5" ht="14.25" customHeight="1">
      <c r="A3" s="801"/>
      <c r="B3" s="7"/>
      <c r="C3" s="801"/>
      <c r="D3" s="801"/>
      <c r="E3" s="677"/>
    </row>
    <row r="4" spans="1:5" ht="14.25" customHeight="1">
      <c r="A4" s="801"/>
      <c r="B4" s="3300" t="s">
        <v>2685</v>
      </c>
      <c r="C4" s="801"/>
      <c r="D4" s="801"/>
      <c r="E4" s="677"/>
    </row>
    <row r="5" spans="1:5" ht="14.25" customHeight="1">
      <c r="A5" s="801"/>
      <c r="B5" s="646" t="s">
        <v>989</v>
      </c>
      <c r="C5" s="801"/>
      <c r="D5" s="801"/>
      <c r="E5" s="677"/>
    </row>
    <row r="6" spans="1:5" ht="14.25" customHeight="1">
      <c r="A6" s="801"/>
      <c r="B6" s="646" t="s">
        <v>1235</v>
      </c>
      <c r="C6" s="801"/>
      <c r="D6" s="801"/>
      <c r="E6" s="677"/>
    </row>
    <row r="7" spans="1:5" ht="14.25" customHeight="1">
      <c r="A7" s="801"/>
      <c r="B7" s="646" t="s">
        <v>371</v>
      </c>
      <c r="C7" s="801"/>
      <c r="D7" s="801"/>
      <c r="E7" s="677"/>
    </row>
    <row r="8" spans="1:5" ht="14.25" customHeight="1">
      <c r="A8" s="801"/>
      <c r="B8" s="646" t="s">
        <v>711</v>
      </c>
      <c r="C8" s="801"/>
      <c r="D8" s="801"/>
      <c r="E8" s="677"/>
    </row>
    <row r="9" spans="1:5" ht="14.25" customHeight="1">
      <c r="A9" s="801"/>
      <c r="B9" s="7" t="s">
        <v>990</v>
      </c>
      <c r="C9" s="801"/>
      <c r="D9" s="801"/>
      <c r="E9" s="677"/>
    </row>
    <row r="10" spans="1:5" ht="6.75" customHeight="1">
      <c r="A10" s="801"/>
      <c r="B10" s="7"/>
      <c r="C10" s="801"/>
      <c r="D10" s="801"/>
      <c r="E10" s="677"/>
    </row>
    <row r="11" spans="1:5" ht="14.25" customHeight="1">
      <c r="A11" s="801"/>
      <c r="B11" s="646" t="s">
        <v>703</v>
      </c>
      <c r="C11" s="801"/>
      <c r="D11" s="801"/>
      <c r="E11" s="677"/>
    </row>
    <row r="12" spans="1:5" ht="7.5" customHeight="1">
      <c r="A12" s="801"/>
      <c r="B12" s="7"/>
      <c r="C12" s="801"/>
      <c r="D12" s="801"/>
      <c r="E12" s="677"/>
    </row>
    <row r="13" spans="1:5" ht="20.25" customHeight="1">
      <c r="A13" s="801"/>
      <c r="B13" s="2596" t="str">
        <f>CONCATENATE("הנדון:", " ", GufMevukar," - ","דוחות כספיים לשנה שהסתיימה ביום 31 בדצמבר ", Shana)</f>
        <v>הנדון: עירית הרצליה - דוחות כספיים לשנה שהסתיימה ביום 31 בדצמבר 2015</v>
      </c>
      <c r="C13" s="801"/>
      <c r="D13" s="801"/>
      <c r="E13" s="677"/>
    </row>
    <row r="14" spans="1:5" ht="8.25" customHeight="1">
      <c r="A14" s="804"/>
      <c r="B14" s="805"/>
      <c r="C14" s="804"/>
      <c r="D14" s="365"/>
      <c r="E14" s="677"/>
    </row>
    <row r="15" spans="1:5" ht="66.75" customHeight="1">
      <c r="A15" s="646"/>
      <c r="B15" s="3303" t="s">
        <v>2594</v>
      </c>
      <c r="C15" s="646"/>
      <c r="D15" s="656"/>
      <c r="E15" s="677"/>
    </row>
    <row r="16" spans="1:5">
      <c r="A16" s="646"/>
      <c r="B16" s="646"/>
      <c r="C16" s="646"/>
      <c r="D16" s="656"/>
      <c r="E16" s="677"/>
    </row>
    <row r="17" spans="1:5" ht="52.8">
      <c r="A17" s="646"/>
      <c r="B17" s="3303" t="s">
        <v>2222</v>
      </c>
      <c r="C17" s="646"/>
      <c r="D17" s="656"/>
      <c r="E17" s="677"/>
    </row>
    <row r="18" spans="1:5">
      <c r="A18" s="646"/>
      <c r="B18" s="646"/>
      <c r="C18" s="656"/>
      <c r="D18" s="646"/>
      <c r="E18" s="677"/>
    </row>
    <row r="19" spans="1:5" ht="84.75" customHeight="1">
      <c r="A19" s="646"/>
      <c r="B19" s="3303" t="s">
        <v>2595</v>
      </c>
      <c r="C19" s="656"/>
      <c r="D19" s="646"/>
      <c r="E19" s="677"/>
    </row>
    <row r="20" spans="1:5">
      <c r="A20" s="646"/>
      <c r="B20" s="3257"/>
      <c r="C20" s="656"/>
      <c r="D20" s="646"/>
      <c r="E20" s="677"/>
    </row>
    <row r="21" spans="1:5" ht="39.6">
      <c r="A21" s="646"/>
      <c r="B21" s="3303" t="s">
        <v>2596</v>
      </c>
      <c r="C21" s="656"/>
      <c r="D21" s="646"/>
      <c r="E21" s="677"/>
    </row>
    <row r="22" spans="1:5">
      <c r="A22" s="646"/>
      <c r="B22" s="3287"/>
      <c r="C22" s="656"/>
      <c r="D22" s="646"/>
      <c r="E22" s="677"/>
    </row>
    <row r="23" spans="1:5">
      <c r="A23" s="646"/>
      <c r="B23" s="3287"/>
      <c r="C23" s="656"/>
      <c r="D23" s="646"/>
      <c r="E23" s="677"/>
    </row>
    <row r="24" spans="1:5">
      <c r="A24" s="646"/>
      <c r="B24" s="3287" t="s">
        <v>2679</v>
      </c>
      <c r="C24" s="656"/>
      <c r="D24" s="646"/>
      <c r="E24" s="677"/>
    </row>
    <row r="25" spans="1:5">
      <c r="A25" s="646"/>
      <c r="B25" s="3287"/>
      <c r="C25" s="656"/>
      <c r="D25" s="646"/>
      <c r="E25" s="677"/>
    </row>
    <row r="26" spans="1:5">
      <c r="A26" s="646"/>
      <c r="B26" s="3287"/>
      <c r="C26" s="656"/>
      <c r="D26" s="646"/>
      <c r="E26" s="677"/>
    </row>
    <row r="27" spans="1:5">
      <c r="A27" s="646"/>
      <c r="B27" s="3287"/>
      <c r="C27" s="656"/>
      <c r="D27" s="646"/>
      <c r="E27" s="677"/>
    </row>
    <row r="28" spans="1:5">
      <c r="A28" s="646"/>
      <c r="B28" s="646"/>
      <c r="C28" s="656"/>
      <c r="D28" s="646"/>
      <c r="E28" s="677"/>
    </row>
    <row r="29" spans="1:5">
      <c r="A29" s="646"/>
      <c r="B29" s="646"/>
      <c r="C29" s="656"/>
      <c r="D29" s="646"/>
      <c r="E29" s="677"/>
    </row>
    <row r="30" spans="1:5">
      <c r="A30" s="646"/>
      <c r="B30" s="3123" t="s">
        <v>553</v>
      </c>
      <c r="C30" s="656"/>
      <c r="D30" s="646"/>
      <c r="E30" s="677"/>
    </row>
    <row r="31" spans="1:5">
      <c r="A31" s="646"/>
      <c r="B31" s="3276" t="s">
        <v>2568</v>
      </c>
      <c r="C31" s="656"/>
      <c r="D31" s="646"/>
      <c r="E31" s="677"/>
    </row>
    <row r="32" spans="1:5">
      <c r="A32" s="646"/>
      <c r="B32" s="646"/>
      <c r="C32" s="656"/>
      <c r="D32" s="646"/>
      <c r="E32" s="677"/>
    </row>
    <row r="33" spans="1:5">
      <c r="A33" s="646"/>
      <c r="B33" s="646"/>
      <c r="C33" s="656"/>
      <c r="D33" s="646"/>
      <c r="E33" s="677"/>
    </row>
    <row r="34" spans="1:5">
      <c r="A34" s="646"/>
      <c r="B34" s="646"/>
      <c r="C34" s="656"/>
      <c r="D34" s="646"/>
      <c r="E34" s="677"/>
    </row>
    <row r="35" spans="1:5">
      <c r="A35" s="646"/>
      <c r="B35" s="646"/>
      <c r="C35" s="656"/>
      <c r="D35" s="646"/>
      <c r="E35" s="677"/>
    </row>
    <row r="36" spans="1:5">
      <c r="A36" s="646"/>
      <c r="B36" s="646"/>
      <c r="C36" s="656"/>
      <c r="D36" s="646"/>
      <c r="E36" s="677"/>
    </row>
    <row r="37" spans="1:5">
      <c r="A37" s="646"/>
      <c r="B37" s="646"/>
      <c r="C37" s="656"/>
      <c r="D37" s="646"/>
      <c r="E37" s="677"/>
    </row>
    <row r="38" spans="1:5" ht="13.8" thickBot="1">
      <c r="A38" s="646"/>
      <c r="B38" s="646"/>
      <c r="C38" s="646"/>
      <c r="D38" s="646"/>
      <c r="E38" s="677"/>
    </row>
    <row r="39" spans="1:5" ht="13.8" thickTop="1">
      <c r="A39" s="810"/>
      <c r="B39" s="810"/>
      <c r="C39" s="810"/>
      <c r="D39" s="810"/>
    </row>
  </sheetData>
  <sheetProtection password="83C1" sheet="1" objects="1" scenarios="1"/>
  <phoneticPr fontId="4" type="noConversion"/>
  <hyperlinks>
    <hyperlink ref="B1" location="'תוכן הענינים'!A1" tooltip="לחץ להצגת גליון תוכן הענינים" display="הצג תוכן ענינים"/>
  </hyperlinks>
  <printOptions horizontalCentered="1" verticalCentered="1"/>
  <pageMargins left="0.3" right="0.65" top="0.75" bottom="1" header="0.25" footer="0.5"/>
  <pageSetup paperSize="9" scale="98" orientation="portrait" blackAndWhite="1" horizontalDpi="300" verticalDpi="300" r:id="rId1"/>
  <headerFooter alignWithMargins="0">
    <oddFooter>&amp;C&amp;P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7"/>
  <dimension ref="A1:R248"/>
  <sheetViews>
    <sheetView showGridLines="0" showRowColHeaders="0" showZeros="0" rightToLeft="1" showOutlineSymbols="0" zoomScaleNormal="100" zoomScaleSheetLayoutView="75" workbookViewId="0">
      <selection activeCell="A3" sqref="A3"/>
    </sheetView>
  </sheetViews>
  <sheetFormatPr defaultColWidth="9.109375" defaultRowHeight="13.2"/>
  <cols>
    <col min="1" max="1" width="1.5546875" style="902" customWidth="1"/>
    <col min="2" max="2" width="5.109375" style="902" customWidth="1"/>
    <col min="3" max="3" width="27.5546875" style="968" customWidth="1"/>
    <col min="4" max="4" width="12.109375" style="968" customWidth="1"/>
    <col min="5" max="5" width="1.44140625" style="950" customWidth="1"/>
    <col min="6" max="6" width="12.109375" style="968" customWidth="1"/>
    <col min="7" max="7" width="1.44140625" style="950" customWidth="1"/>
    <col min="8" max="8" width="12.109375" style="968" customWidth="1"/>
    <col min="9" max="9" width="1.44140625" style="950" customWidth="1"/>
    <col min="10" max="10" width="12.109375" style="968" customWidth="1"/>
    <col min="11" max="11" width="1.44140625" style="950" customWidth="1"/>
    <col min="12" max="12" width="12.5546875" style="968" customWidth="1"/>
    <col min="13" max="13" width="1.33203125" style="950" customWidth="1"/>
    <col min="14" max="14" width="12.33203125" style="902" customWidth="1"/>
    <col min="15" max="15" width="1.5546875" style="902" customWidth="1"/>
    <col min="16" max="16" width="12.6640625" style="902" customWidth="1"/>
    <col min="17" max="16384" width="9.109375" style="902"/>
  </cols>
  <sheetData>
    <row r="1" spans="1:18" ht="29.25" customHeight="1">
      <c r="A1" s="897"/>
      <c r="B1" s="898"/>
      <c r="C1" s="898"/>
      <c r="D1" s="3605" t="str">
        <f>'הגדרות כלליות'!D6</f>
        <v>עירית הרצליה</v>
      </c>
      <c r="E1" s="3605"/>
      <c r="F1" s="3605"/>
      <c r="G1" s="3605"/>
      <c r="H1" s="3605"/>
      <c r="I1" s="3605"/>
      <c r="J1" s="3605"/>
      <c r="K1" s="3605"/>
      <c r="L1" s="3606"/>
      <c r="M1" s="899"/>
      <c r="N1" s="899"/>
      <c r="O1" s="899"/>
      <c r="P1" s="899"/>
      <c r="Q1" s="900"/>
      <c r="R1" s="901"/>
    </row>
    <row r="2" spans="1:18" ht="21" customHeight="1">
      <c r="A2" s="897"/>
      <c r="B2" s="903"/>
      <c r="C2" s="903"/>
      <c r="D2" s="3605" t="str">
        <f>CONCATENATE("הדוח הכספי לשנת ",Shana, " - דוח השכר לפי פרקי התקציב")</f>
        <v>הדוח הכספי לשנת 2015 - דוח השכר לפי פרקי התקציב</v>
      </c>
      <c r="E2" s="3605"/>
      <c r="F2" s="3605"/>
      <c r="G2" s="3605"/>
      <c r="H2" s="3605"/>
      <c r="I2" s="3605"/>
      <c r="J2" s="3605"/>
      <c r="K2" s="3605"/>
      <c r="L2" s="3606"/>
      <c r="M2" s="3075"/>
      <c r="N2" s="3076"/>
      <c r="O2" s="3076"/>
      <c r="P2" s="3076"/>
      <c r="Q2" s="3077"/>
      <c r="R2" s="901"/>
    </row>
    <row r="3" spans="1:18" ht="21" customHeight="1">
      <c r="A3" s="7" t="s">
        <v>339</v>
      </c>
      <c r="B3" s="904"/>
      <c r="C3" s="904"/>
      <c r="D3" s="905"/>
      <c r="E3" s="906"/>
      <c r="F3" s="906"/>
      <c r="G3" s="906"/>
      <c r="H3" s="906"/>
      <c r="I3" s="906"/>
      <c r="J3" s="906"/>
      <c r="K3" s="906"/>
      <c r="L3" s="906"/>
      <c r="M3" s="906"/>
      <c r="N3" s="906"/>
      <c r="O3" s="906"/>
      <c r="P3" s="906"/>
      <c r="Q3" s="906"/>
      <c r="R3" s="901"/>
    </row>
    <row r="4" spans="1:18">
      <c r="A4" s="907"/>
      <c r="B4" s="3609"/>
      <c r="C4" s="3609"/>
      <c r="D4" s="3610"/>
      <c r="E4" s="3610"/>
      <c r="F4" s="3610"/>
      <c r="G4" s="3610"/>
      <c r="H4" s="3610"/>
      <c r="I4" s="3610"/>
      <c r="J4" s="3610"/>
      <c r="K4" s="3610"/>
      <c r="L4" s="3610"/>
      <c r="M4" s="3610"/>
      <c r="N4" s="3610"/>
      <c r="O4" s="909"/>
      <c r="P4" s="909"/>
      <c r="Q4" s="916"/>
      <c r="R4" s="901"/>
    </row>
    <row r="5" spans="1:18">
      <c r="A5" s="907"/>
      <c r="B5" s="917"/>
      <c r="C5" s="917"/>
      <c r="D5" s="918"/>
      <c r="E5" s="914"/>
      <c r="F5" s="913"/>
      <c r="G5" s="914"/>
      <c r="H5" s="913"/>
      <c r="I5" s="914"/>
      <c r="J5" s="913"/>
      <c r="K5" s="914"/>
      <c r="L5" s="913"/>
      <c r="M5" s="914"/>
      <c r="N5" s="909"/>
      <c r="O5" s="909"/>
      <c r="P5" s="909"/>
      <c r="Q5" s="909"/>
      <c r="R5" s="901"/>
    </row>
    <row r="6" spans="1:18" ht="12.75" customHeight="1">
      <c r="A6" s="907"/>
      <c r="B6" s="919"/>
      <c r="C6" s="3064"/>
      <c r="D6" s="3614" t="str">
        <f>CONCATENATE("תקציב", " ", Shana)</f>
        <v>תקציב 2015</v>
      </c>
      <c r="E6" s="3614"/>
      <c r="F6" s="3614"/>
      <c r="G6" s="920"/>
      <c r="H6" s="3615" t="str">
        <f>CONCATENATE("ביצוע", " ", Shana)</f>
        <v>ביצוע 2015</v>
      </c>
      <c r="I6" s="3615"/>
      <c r="J6" s="3615"/>
      <c r="K6" s="920"/>
      <c r="L6" s="3615" t="s">
        <v>1168</v>
      </c>
      <c r="M6" s="3615"/>
      <c r="N6" s="3616"/>
      <c r="O6" s="909"/>
      <c r="P6" s="906"/>
      <c r="Q6" s="909"/>
      <c r="R6" s="901"/>
    </row>
    <row r="7" spans="1:18" ht="12.75" customHeight="1">
      <c r="A7" s="907"/>
      <c r="B7" s="919"/>
      <c r="C7" s="3064"/>
      <c r="D7" s="3067" t="s">
        <v>244</v>
      </c>
      <c r="E7" s="920"/>
      <c r="F7" s="3068" t="s">
        <v>245</v>
      </c>
      <c r="G7" s="920"/>
      <c r="H7" s="3068" t="s">
        <v>246</v>
      </c>
      <c r="I7" s="920"/>
      <c r="J7" s="3068" t="s">
        <v>247</v>
      </c>
      <c r="K7" s="920"/>
      <c r="L7" s="3068" t="s">
        <v>244</v>
      </c>
      <c r="M7" s="908"/>
      <c r="N7" s="3069" t="s">
        <v>245</v>
      </c>
      <c r="O7" s="909"/>
      <c r="P7" s="906"/>
      <c r="Q7" s="909"/>
      <c r="R7" s="901"/>
    </row>
    <row r="8" spans="1:18" ht="12.75" customHeight="1">
      <c r="A8" s="907"/>
      <c r="B8" s="910"/>
      <c r="C8" s="921"/>
      <c r="D8" s="921"/>
      <c r="E8" s="921"/>
      <c r="F8" s="921"/>
      <c r="G8" s="921"/>
      <c r="H8" s="921"/>
      <c r="I8" s="921"/>
      <c r="J8" s="921"/>
      <c r="K8" s="921"/>
      <c r="L8" s="921"/>
      <c r="M8" s="921"/>
      <c r="N8" s="922"/>
      <c r="O8" s="909"/>
      <c r="P8" s="906"/>
      <c r="Q8" s="909"/>
      <c r="R8" s="901"/>
    </row>
    <row r="9" spans="1:18" ht="12.75" customHeight="1">
      <c r="A9" s="907"/>
      <c r="B9" s="1016">
        <v>6</v>
      </c>
      <c r="C9" s="1017" t="s">
        <v>233</v>
      </c>
      <c r="D9" s="921"/>
      <c r="E9" s="921"/>
      <c r="F9" s="921"/>
      <c r="G9" s="921"/>
      <c r="H9" s="921"/>
      <c r="I9" s="921"/>
      <c r="J9" s="921"/>
      <c r="K9" s="921"/>
      <c r="L9" s="921"/>
      <c r="M9" s="921"/>
      <c r="N9" s="922"/>
      <c r="O9" s="909"/>
      <c r="P9" s="906"/>
      <c r="Q9" s="909"/>
      <c r="R9" s="901"/>
    </row>
    <row r="10" spans="1:18" ht="12.75" customHeight="1">
      <c r="A10" s="907"/>
      <c r="B10" s="996">
        <v>61</v>
      </c>
      <c r="C10" s="3066" t="s">
        <v>1109</v>
      </c>
      <c r="D10" s="3242">
        <v>3</v>
      </c>
      <c r="E10" s="924"/>
      <c r="F10" s="1019">
        <v>2150</v>
      </c>
      <c r="G10" s="924"/>
      <c r="H10" s="3242">
        <v>3</v>
      </c>
      <c r="I10" s="924"/>
      <c r="J10" s="1019">
        <v>2045</v>
      </c>
      <c r="K10" s="924"/>
      <c r="L10" s="3246">
        <f>D10-H10</f>
        <v>0</v>
      </c>
      <c r="M10" s="924"/>
      <c r="N10" s="936">
        <f>F10-J10</f>
        <v>105</v>
      </c>
      <c r="O10" s="909"/>
      <c r="P10" s="906"/>
      <c r="Q10" s="909"/>
      <c r="R10" s="901"/>
    </row>
    <row r="11" spans="1:18" ht="12.75" customHeight="1">
      <c r="A11" s="907"/>
      <c r="B11" s="996">
        <v>61</v>
      </c>
      <c r="C11" s="3065" t="s">
        <v>1027</v>
      </c>
      <c r="D11" s="3242">
        <v>73</v>
      </c>
      <c r="E11" s="924"/>
      <c r="F11" s="1019">
        <v>15141</v>
      </c>
      <c r="G11" s="924"/>
      <c r="H11" s="3242">
        <v>70.41</v>
      </c>
      <c r="I11" s="924"/>
      <c r="J11" s="1019">
        <f>14581+140+415</f>
        <v>15136</v>
      </c>
      <c r="K11" s="924"/>
      <c r="L11" s="3246">
        <f t="shared" ref="L11:L44" si="0">D11-H11</f>
        <v>2.5900000000000034</v>
      </c>
      <c r="M11" s="924"/>
      <c r="N11" s="936">
        <f>F11-J11</f>
        <v>5</v>
      </c>
      <c r="O11" s="909"/>
      <c r="P11" s="906"/>
      <c r="Q11" s="909"/>
      <c r="R11" s="901"/>
    </row>
    <row r="12" spans="1:18" ht="12.75" customHeight="1">
      <c r="A12" s="907"/>
      <c r="B12" s="996">
        <v>62</v>
      </c>
      <c r="C12" s="3065" t="s">
        <v>1028</v>
      </c>
      <c r="D12" s="3242">
        <v>71</v>
      </c>
      <c r="E12" s="924"/>
      <c r="F12" s="1019">
        <v>12080</v>
      </c>
      <c r="G12" s="924"/>
      <c r="H12" s="3242">
        <v>68.739999999999995</v>
      </c>
      <c r="I12" s="924"/>
      <c r="J12" s="1019">
        <v>11080</v>
      </c>
      <c r="K12" s="924"/>
      <c r="L12" s="3246">
        <f t="shared" si="0"/>
        <v>2.2600000000000051</v>
      </c>
      <c r="M12" s="924"/>
      <c r="N12" s="936">
        <f>F12-J12</f>
        <v>1000</v>
      </c>
      <c r="O12" s="909"/>
      <c r="P12" s="906"/>
      <c r="Q12" s="909"/>
      <c r="R12" s="901"/>
    </row>
    <row r="13" spans="1:18" ht="12.75" customHeight="1">
      <c r="A13" s="907"/>
      <c r="B13" s="996"/>
      <c r="C13" s="3066" t="s">
        <v>234</v>
      </c>
      <c r="D13" s="3243">
        <f>SUM(D10:D12)</f>
        <v>147</v>
      </c>
      <c r="E13" s="924"/>
      <c r="F13" s="1112">
        <f>SUM(F10:F12)</f>
        <v>29371</v>
      </c>
      <c r="G13" s="924"/>
      <c r="H13" s="3243">
        <f>SUM(H10:H12)</f>
        <v>142.14999999999998</v>
      </c>
      <c r="I13" s="924"/>
      <c r="J13" s="1112">
        <f>SUM(J10:J12)</f>
        <v>28261</v>
      </c>
      <c r="K13" s="924"/>
      <c r="L13" s="3243">
        <f t="shared" si="0"/>
        <v>4.8500000000000227</v>
      </c>
      <c r="M13" s="924"/>
      <c r="N13" s="1114">
        <f>F13-J13</f>
        <v>1110</v>
      </c>
      <c r="O13" s="909"/>
      <c r="P13" s="906"/>
      <c r="Q13" s="909"/>
      <c r="R13" s="901"/>
    </row>
    <row r="14" spans="1:18" ht="12.75" customHeight="1">
      <c r="A14" s="907"/>
      <c r="B14" s="1016">
        <v>7</v>
      </c>
      <c r="C14" s="1017" t="s">
        <v>235</v>
      </c>
      <c r="D14" s="3244"/>
      <c r="E14" s="921"/>
      <c r="F14" s="921"/>
      <c r="G14" s="921"/>
      <c r="H14" s="3244"/>
      <c r="I14" s="921"/>
      <c r="J14" s="921"/>
      <c r="K14" s="921"/>
      <c r="L14" s="3244"/>
      <c r="M14" s="921"/>
      <c r="N14" s="922"/>
      <c r="O14" s="909"/>
      <c r="P14" s="906"/>
      <c r="Q14" s="909"/>
      <c r="R14" s="901"/>
    </row>
    <row r="15" spans="1:18" ht="12.75" customHeight="1">
      <c r="A15" s="907"/>
      <c r="B15" s="996">
        <v>71</v>
      </c>
      <c r="C15" s="3066" t="s">
        <v>1030</v>
      </c>
      <c r="D15" s="3242">
        <v>37</v>
      </c>
      <c r="E15" s="924"/>
      <c r="F15" s="1019">
        <v>7825</v>
      </c>
      <c r="G15" s="924"/>
      <c r="H15" s="3242">
        <v>37.700000000000003</v>
      </c>
      <c r="I15" s="924"/>
      <c r="J15" s="1019">
        <v>7471</v>
      </c>
      <c r="K15" s="924"/>
      <c r="L15" s="3246">
        <f t="shared" si="0"/>
        <v>-0.70000000000000284</v>
      </c>
      <c r="M15" s="924"/>
      <c r="N15" s="936">
        <f t="shared" ref="N15:N22" si="1">F15-J15</f>
        <v>354</v>
      </c>
      <c r="O15" s="909"/>
      <c r="P15" s="906"/>
      <c r="Q15" s="909"/>
      <c r="R15" s="901"/>
    </row>
    <row r="16" spans="1:18" ht="12.75" customHeight="1">
      <c r="A16" s="907"/>
      <c r="B16" s="996">
        <v>72</v>
      </c>
      <c r="C16" s="3066" t="s">
        <v>1031</v>
      </c>
      <c r="D16" s="3242">
        <v>37</v>
      </c>
      <c r="E16" s="924"/>
      <c r="F16" s="1019">
        <v>6097</v>
      </c>
      <c r="G16" s="924"/>
      <c r="H16" s="3242">
        <v>36.869999999999997</v>
      </c>
      <c r="I16" s="924"/>
      <c r="J16" s="1019">
        <v>5455</v>
      </c>
      <c r="K16" s="924"/>
      <c r="L16" s="3246">
        <f t="shared" si="0"/>
        <v>0.13000000000000256</v>
      </c>
      <c r="M16" s="924"/>
      <c r="N16" s="936">
        <f t="shared" si="1"/>
        <v>642</v>
      </c>
      <c r="O16" s="909"/>
      <c r="P16" s="906"/>
      <c r="Q16" s="909"/>
      <c r="R16" s="901"/>
    </row>
    <row r="17" spans="1:18" ht="12.75" customHeight="1">
      <c r="A17" s="907"/>
      <c r="B17" s="996">
        <v>73</v>
      </c>
      <c r="C17" s="3066" t="s">
        <v>1032</v>
      </c>
      <c r="D17" s="3242">
        <v>55</v>
      </c>
      <c r="E17" s="924"/>
      <c r="F17" s="1019">
        <v>10343</v>
      </c>
      <c r="G17" s="924"/>
      <c r="H17" s="3242">
        <v>48.89</v>
      </c>
      <c r="I17" s="924"/>
      <c r="J17" s="1019">
        <v>9508</v>
      </c>
      <c r="K17" s="924"/>
      <c r="L17" s="3246">
        <f t="shared" si="0"/>
        <v>6.1099999999999994</v>
      </c>
      <c r="M17" s="924"/>
      <c r="N17" s="936">
        <f t="shared" si="1"/>
        <v>835</v>
      </c>
      <c r="O17" s="909"/>
      <c r="P17" s="906"/>
      <c r="Q17" s="909"/>
      <c r="R17" s="901"/>
    </row>
    <row r="18" spans="1:18" ht="12.75" customHeight="1">
      <c r="A18" s="907"/>
      <c r="B18" s="996">
        <v>74</v>
      </c>
      <c r="C18" s="3066" t="s">
        <v>1033</v>
      </c>
      <c r="D18" s="3242">
        <v>59</v>
      </c>
      <c r="E18" s="924"/>
      <c r="F18" s="1019">
        <v>16035</v>
      </c>
      <c r="G18" s="924"/>
      <c r="H18" s="3242">
        <v>59.14</v>
      </c>
      <c r="I18" s="924"/>
      <c r="J18" s="1019">
        <v>15259</v>
      </c>
      <c r="K18" s="924"/>
      <c r="L18" s="3246">
        <f t="shared" si="0"/>
        <v>-0.14000000000000057</v>
      </c>
      <c r="M18" s="924"/>
      <c r="N18" s="936">
        <f t="shared" si="1"/>
        <v>776</v>
      </c>
      <c r="O18" s="909"/>
      <c r="P18" s="906"/>
      <c r="Q18" s="909"/>
      <c r="R18" s="901"/>
    </row>
    <row r="19" spans="1:18" ht="12.75" customHeight="1">
      <c r="A19" s="907"/>
      <c r="B19" s="996">
        <v>76</v>
      </c>
      <c r="C19" s="3066" t="s">
        <v>236</v>
      </c>
      <c r="D19" s="3242">
        <v>22</v>
      </c>
      <c r="E19" s="924"/>
      <c r="F19" s="1019">
        <f>93+3345</f>
        <v>3438</v>
      </c>
      <c r="G19" s="924"/>
      <c r="H19" s="3242">
        <f>0.5+21.44</f>
        <v>21.94</v>
      </c>
      <c r="I19" s="924"/>
      <c r="J19" s="1019">
        <f>88+3143</f>
        <v>3231</v>
      </c>
      <c r="K19" s="924"/>
      <c r="L19" s="3246">
        <f t="shared" si="0"/>
        <v>5.9999999999998721E-2</v>
      </c>
      <c r="M19" s="924"/>
      <c r="N19" s="936">
        <f t="shared" si="1"/>
        <v>207</v>
      </c>
      <c r="O19" s="909"/>
      <c r="P19" s="906"/>
      <c r="Q19" s="909"/>
      <c r="R19" s="901"/>
    </row>
    <row r="20" spans="1:18" ht="12.75" customHeight="1">
      <c r="A20" s="907"/>
      <c r="B20" s="996">
        <v>78</v>
      </c>
      <c r="C20" s="3066" t="s">
        <v>1037</v>
      </c>
      <c r="D20" s="3242">
        <v>42</v>
      </c>
      <c r="E20" s="924"/>
      <c r="F20" s="1019">
        <f>135+7415</f>
        <v>7550</v>
      </c>
      <c r="G20" s="924"/>
      <c r="H20" s="3242">
        <v>41.32</v>
      </c>
      <c r="I20" s="924"/>
      <c r="J20" s="1019">
        <v>6477</v>
      </c>
      <c r="K20" s="924"/>
      <c r="L20" s="3246">
        <f t="shared" si="0"/>
        <v>0.67999999999999972</v>
      </c>
      <c r="M20" s="924"/>
      <c r="N20" s="936">
        <f t="shared" si="1"/>
        <v>1073</v>
      </c>
      <c r="O20" s="909"/>
      <c r="P20" s="906"/>
      <c r="Q20" s="909"/>
      <c r="R20" s="901"/>
    </row>
    <row r="21" spans="1:18" ht="12.75" customHeight="1">
      <c r="A21" s="907"/>
      <c r="B21" s="996">
        <v>79</v>
      </c>
      <c r="C21" s="3066" t="s">
        <v>1038</v>
      </c>
      <c r="D21" s="3242"/>
      <c r="E21" s="924"/>
      <c r="F21" s="1019"/>
      <c r="G21" s="924"/>
      <c r="H21" s="3242"/>
      <c r="I21" s="924"/>
      <c r="J21" s="1019"/>
      <c r="K21" s="924"/>
      <c r="L21" s="3246">
        <f t="shared" si="0"/>
        <v>0</v>
      </c>
      <c r="M21" s="924"/>
      <c r="N21" s="936">
        <f t="shared" si="1"/>
        <v>0</v>
      </c>
      <c r="O21" s="909"/>
      <c r="P21" s="906"/>
      <c r="Q21" s="909"/>
      <c r="R21" s="901"/>
    </row>
    <row r="22" spans="1:18" ht="12.75" customHeight="1">
      <c r="A22" s="907"/>
      <c r="B22" s="996"/>
      <c r="C22" s="3065" t="s">
        <v>237</v>
      </c>
      <c r="D22" s="3243">
        <f>SUM(D15:D21)</f>
        <v>252</v>
      </c>
      <c r="E22" s="924"/>
      <c r="F22" s="1112">
        <f>SUM(F15:F21)</f>
        <v>51288</v>
      </c>
      <c r="G22" s="924"/>
      <c r="H22" s="3243">
        <f>SUM(H15:H21)</f>
        <v>245.85999999999999</v>
      </c>
      <c r="I22" s="924"/>
      <c r="J22" s="1112">
        <f>SUM(J15:J21)</f>
        <v>47401</v>
      </c>
      <c r="K22" s="924"/>
      <c r="L22" s="3243">
        <f t="shared" si="0"/>
        <v>6.1400000000000148</v>
      </c>
      <c r="M22" s="924"/>
      <c r="N22" s="1114">
        <f t="shared" si="1"/>
        <v>3887</v>
      </c>
      <c r="O22" s="909"/>
      <c r="P22" s="906"/>
      <c r="Q22" s="909"/>
      <c r="R22" s="901"/>
    </row>
    <row r="23" spans="1:18" ht="12.75" customHeight="1">
      <c r="A23" s="907"/>
      <c r="B23" s="1016">
        <v>8</v>
      </c>
      <c r="C23" s="1017" t="s">
        <v>446</v>
      </c>
      <c r="D23" s="3244"/>
      <c r="E23" s="921"/>
      <c r="F23" s="921"/>
      <c r="G23" s="921"/>
      <c r="H23" s="3244"/>
      <c r="I23" s="921"/>
      <c r="J23" s="921"/>
      <c r="K23" s="921"/>
      <c r="L23" s="3244"/>
      <c r="M23" s="921"/>
      <c r="N23" s="922"/>
      <c r="O23" s="909"/>
      <c r="P23" s="906"/>
      <c r="Q23" s="909"/>
      <c r="R23" s="901"/>
    </row>
    <row r="24" spans="1:18" ht="12.75" customHeight="1">
      <c r="A24" s="907"/>
      <c r="B24" s="996">
        <v>811</v>
      </c>
      <c r="C24" s="3066" t="s">
        <v>248</v>
      </c>
      <c r="D24" s="3242">
        <v>19</v>
      </c>
      <c r="E24" s="924"/>
      <c r="F24" s="1019">
        <v>3810</v>
      </c>
      <c r="G24" s="924"/>
      <c r="H24" s="3242">
        <v>19.34</v>
      </c>
      <c r="I24" s="924"/>
      <c r="J24" s="1019">
        <v>3764</v>
      </c>
      <c r="K24" s="924"/>
      <c r="L24" s="3246">
        <f>D24-H24</f>
        <v>-0.33999999999999986</v>
      </c>
      <c r="M24" s="924"/>
      <c r="N24" s="936">
        <f t="shared" ref="N24:N32" si="2">F24-J24</f>
        <v>46</v>
      </c>
      <c r="O24" s="909"/>
      <c r="P24" s="906"/>
      <c r="Q24" s="909"/>
      <c r="R24" s="901"/>
    </row>
    <row r="25" spans="1:18" ht="12.75" customHeight="1">
      <c r="A25" s="907"/>
      <c r="B25" s="996">
        <v>812</v>
      </c>
      <c r="C25" s="3066" t="s">
        <v>965</v>
      </c>
      <c r="D25" s="3242">
        <f>949-19</f>
        <v>930</v>
      </c>
      <c r="E25" s="924"/>
      <c r="F25" s="1019">
        <f>154130-3810</f>
        <v>150320</v>
      </c>
      <c r="G25" s="924"/>
      <c r="H25" s="3242">
        <v>924.62</v>
      </c>
      <c r="I25" s="924"/>
      <c r="J25" s="1019">
        <f>143633+3850</f>
        <v>147483</v>
      </c>
      <c r="K25" s="924"/>
      <c r="L25" s="3246">
        <f t="shared" si="0"/>
        <v>5.3799999999999955</v>
      </c>
      <c r="M25" s="924"/>
      <c r="N25" s="936">
        <f t="shared" si="2"/>
        <v>2837</v>
      </c>
      <c r="O25" s="909"/>
      <c r="P25" s="906"/>
      <c r="Q25" s="909"/>
      <c r="R25" s="901"/>
    </row>
    <row r="26" spans="1:18" ht="12.75" customHeight="1">
      <c r="A26" s="907"/>
      <c r="B26" s="996">
        <v>82</v>
      </c>
      <c r="C26" s="3065" t="s">
        <v>1039</v>
      </c>
      <c r="D26" s="3242">
        <v>91</v>
      </c>
      <c r="E26" s="924"/>
      <c r="F26" s="1019">
        <v>13953</v>
      </c>
      <c r="G26" s="924"/>
      <c r="H26" s="3242">
        <v>81.53</v>
      </c>
      <c r="I26" s="924"/>
      <c r="J26" s="1019">
        <v>13435</v>
      </c>
      <c r="K26" s="924"/>
      <c r="L26" s="3246">
        <f t="shared" si="0"/>
        <v>9.4699999999999989</v>
      </c>
      <c r="M26" s="924"/>
      <c r="N26" s="936">
        <f t="shared" si="2"/>
        <v>518</v>
      </c>
      <c r="O26" s="909"/>
      <c r="P26" s="906"/>
      <c r="Q26" s="909"/>
      <c r="R26" s="901"/>
    </row>
    <row r="27" spans="1:18" ht="12.75" customHeight="1">
      <c r="A27" s="907"/>
      <c r="B27" s="996">
        <v>83</v>
      </c>
      <c r="C27" s="921" t="s">
        <v>1040</v>
      </c>
      <c r="D27" s="3242">
        <v>3</v>
      </c>
      <c r="E27" s="924"/>
      <c r="F27" s="1019">
        <v>607</v>
      </c>
      <c r="G27" s="924"/>
      <c r="H27" s="3242">
        <v>2.4300000000000002</v>
      </c>
      <c r="I27" s="924"/>
      <c r="J27" s="1019">
        <v>514</v>
      </c>
      <c r="K27" s="924"/>
      <c r="L27" s="3246">
        <f t="shared" si="0"/>
        <v>0.56999999999999984</v>
      </c>
      <c r="M27" s="924"/>
      <c r="N27" s="936">
        <f t="shared" si="2"/>
        <v>93</v>
      </c>
      <c r="O27" s="909"/>
      <c r="P27" s="906"/>
      <c r="Q27" s="909"/>
      <c r="R27" s="901"/>
    </row>
    <row r="28" spans="1:18" ht="12.75" customHeight="1">
      <c r="A28" s="907"/>
      <c r="B28" s="996">
        <v>84</v>
      </c>
      <c r="C28" s="921" t="s">
        <v>1041</v>
      </c>
      <c r="D28" s="3242">
        <v>110</v>
      </c>
      <c r="E28" s="924"/>
      <c r="F28" s="1019">
        <v>19149</v>
      </c>
      <c r="G28" s="924"/>
      <c r="H28" s="3242">
        <v>103.96</v>
      </c>
      <c r="I28" s="924"/>
      <c r="J28" s="1019">
        <f>18218+144</f>
        <v>18362</v>
      </c>
      <c r="K28" s="924"/>
      <c r="L28" s="3246">
        <f t="shared" si="0"/>
        <v>6.0400000000000063</v>
      </c>
      <c r="M28" s="924"/>
      <c r="N28" s="936">
        <f t="shared" si="2"/>
        <v>787</v>
      </c>
      <c r="O28" s="909"/>
      <c r="P28" s="906"/>
      <c r="Q28" s="909"/>
      <c r="R28" s="901"/>
    </row>
    <row r="29" spans="1:18" ht="12.75" customHeight="1">
      <c r="A29" s="907"/>
      <c r="B29" s="996">
        <v>85</v>
      </c>
      <c r="C29" s="921" t="s">
        <v>1042</v>
      </c>
      <c r="D29" s="3242"/>
      <c r="E29" s="924"/>
      <c r="F29" s="1019"/>
      <c r="G29" s="924"/>
      <c r="H29" s="3242"/>
      <c r="I29" s="924"/>
      <c r="J29" s="1019"/>
      <c r="K29" s="924"/>
      <c r="L29" s="3246"/>
      <c r="M29" s="924"/>
      <c r="N29" s="936">
        <f t="shared" si="2"/>
        <v>0</v>
      </c>
      <c r="O29" s="909"/>
      <c r="P29" s="906"/>
      <c r="Q29" s="909"/>
      <c r="R29" s="901"/>
    </row>
    <row r="30" spans="1:18" ht="12.75" customHeight="1">
      <c r="A30" s="907"/>
      <c r="B30" s="996">
        <v>86</v>
      </c>
      <c r="C30" s="3065" t="s">
        <v>1043</v>
      </c>
      <c r="D30" s="3242">
        <v>1</v>
      </c>
      <c r="E30" s="924"/>
      <c r="F30" s="1019">
        <v>81</v>
      </c>
      <c r="G30" s="924"/>
      <c r="H30" s="3242">
        <v>0.64</v>
      </c>
      <c r="I30" s="924"/>
      <c r="J30" s="1019">
        <v>57</v>
      </c>
      <c r="K30" s="924"/>
      <c r="L30" s="3246">
        <f t="shared" si="0"/>
        <v>0.36</v>
      </c>
      <c r="M30" s="924"/>
      <c r="N30" s="936">
        <f t="shared" si="2"/>
        <v>24</v>
      </c>
      <c r="O30" s="909"/>
      <c r="P30" s="906"/>
      <c r="Q30" s="909"/>
      <c r="R30" s="901"/>
    </row>
    <row r="31" spans="1:18" ht="12.75" customHeight="1">
      <c r="A31" s="907"/>
      <c r="B31" s="996">
        <v>87</v>
      </c>
      <c r="C31" s="3065" t="s">
        <v>238</v>
      </c>
      <c r="D31" s="3242">
        <v>6</v>
      </c>
      <c r="E31" s="924"/>
      <c r="F31" s="1019">
        <v>1048</v>
      </c>
      <c r="G31" s="924"/>
      <c r="H31" s="3242">
        <v>5.8</v>
      </c>
      <c r="I31" s="924"/>
      <c r="J31" s="1019">
        <v>925</v>
      </c>
      <c r="K31" s="924"/>
      <c r="L31" s="3246">
        <f t="shared" si="0"/>
        <v>0.20000000000000018</v>
      </c>
      <c r="M31" s="924"/>
      <c r="N31" s="936">
        <f t="shared" si="2"/>
        <v>123</v>
      </c>
      <c r="O31" s="909"/>
      <c r="P31" s="906"/>
      <c r="Q31" s="909"/>
      <c r="R31" s="901"/>
    </row>
    <row r="32" spans="1:18" ht="12.75" customHeight="1">
      <c r="A32" s="907"/>
      <c r="B32" s="996"/>
      <c r="C32" s="3065" t="s">
        <v>239</v>
      </c>
      <c r="D32" s="3243">
        <f>SUM(D24:D31)</f>
        <v>1160</v>
      </c>
      <c r="E32" s="924"/>
      <c r="F32" s="1112">
        <f>SUM(F24:F31)</f>
        <v>188968</v>
      </c>
      <c r="G32" s="924"/>
      <c r="H32" s="3243">
        <f>SUM(H24:H31)</f>
        <v>1138.3200000000002</v>
      </c>
      <c r="I32" s="924"/>
      <c r="J32" s="1112">
        <f>SUM(J24:J31)</f>
        <v>184540</v>
      </c>
      <c r="K32" s="924"/>
      <c r="L32" s="3243">
        <f t="shared" si="0"/>
        <v>21.679999999999836</v>
      </c>
      <c r="M32" s="924"/>
      <c r="N32" s="1114">
        <f t="shared" si="2"/>
        <v>4428</v>
      </c>
      <c r="O32" s="909"/>
      <c r="P32" s="906"/>
      <c r="Q32" s="909"/>
      <c r="R32" s="901"/>
    </row>
    <row r="33" spans="1:18" ht="12.75" customHeight="1">
      <c r="A33" s="907"/>
      <c r="B33" s="1016">
        <v>9</v>
      </c>
      <c r="C33" s="1017" t="s">
        <v>462</v>
      </c>
      <c r="D33" s="3244"/>
      <c r="E33" s="921"/>
      <c r="F33" s="921"/>
      <c r="G33" s="921"/>
      <c r="H33" s="3244"/>
      <c r="I33" s="921"/>
      <c r="J33" s="921"/>
      <c r="K33" s="921"/>
      <c r="L33" s="3244"/>
      <c r="M33" s="921"/>
      <c r="N33" s="922"/>
      <c r="O33" s="909"/>
      <c r="P33" s="906"/>
      <c r="Q33" s="909"/>
      <c r="R33" s="901"/>
    </row>
    <row r="34" spans="1:18" ht="12.75" customHeight="1">
      <c r="A34" s="907"/>
      <c r="B34" s="996">
        <v>91</v>
      </c>
      <c r="C34" s="3066" t="s">
        <v>1045</v>
      </c>
      <c r="D34" s="3242">
        <v>10</v>
      </c>
      <c r="E34" s="924"/>
      <c r="F34" s="1019">
        <v>2250</v>
      </c>
      <c r="G34" s="924"/>
      <c r="H34" s="3242">
        <v>10</v>
      </c>
      <c r="I34" s="924"/>
      <c r="J34" s="1019">
        <v>2037</v>
      </c>
      <c r="K34" s="924"/>
      <c r="L34" s="3246">
        <f t="shared" si="0"/>
        <v>0</v>
      </c>
      <c r="M34" s="924"/>
      <c r="N34" s="936">
        <f t="shared" ref="N34:N40" si="3">F34-J34</f>
        <v>213</v>
      </c>
      <c r="O34" s="909"/>
      <c r="P34" s="906"/>
      <c r="Q34" s="909"/>
      <c r="R34" s="901"/>
    </row>
    <row r="35" spans="1:18" ht="12.75" customHeight="1">
      <c r="A35" s="907"/>
      <c r="B35" s="996">
        <v>92</v>
      </c>
      <c r="C35" s="3065" t="s">
        <v>240</v>
      </c>
      <c r="D35" s="3242"/>
      <c r="E35" s="924"/>
      <c r="F35" s="1019"/>
      <c r="G35" s="924"/>
      <c r="H35" s="3242"/>
      <c r="I35" s="924"/>
      <c r="J35" s="1019"/>
      <c r="K35" s="924"/>
      <c r="L35" s="3246">
        <f t="shared" si="0"/>
        <v>0</v>
      </c>
      <c r="M35" s="924"/>
      <c r="N35" s="936">
        <f t="shared" si="3"/>
        <v>0</v>
      </c>
      <c r="O35" s="909"/>
      <c r="P35" s="906"/>
      <c r="Q35" s="909"/>
      <c r="R35" s="901"/>
    </row>
    <row r="36" spans="1:18" ht="12.75" customHeight="1">
      <c r="A36" s="907"/>
      <c r="B36" s="996">
        <v>93</v>
      </c>
      <c r="C36" s="921" t="s">
        <v>340</v>
      </c>
      <c r="D36" s="3242">
        <v>54</v>
      </c>
      <c r="E36" s="924"/>
      <c r="F36" s="1019">
        <v>7558</v>
      </c>
      <c r="G36" s="924"/>
      <c r="H36" s="3242">
        <v>52.34</v>
      </c>
      <c r="I36" s="924"/>
      <c r="J36" s="1019">
        <v>8462</v>
      </c>
      <c r="K36" s="924"/>
      <c r="L36" s="3246">
        <f t="shared" si="0"/>
        <v>1.6599999999999966</v>
      </c>
      <c r="M36" s="924"/>
      <c r="N36" s="936">
        <f t="shared" si="3"/>
        <v>-904</v>
      </c>
      <c r="O36" s="909"/>
      <c r="P36" s="906"/>
      <c r="Q36" s="909"/>
      <c r="R36" s="901"/>
    </row>
    <row r="37" spans="1:18" ht="12.75" customHeight="1">
      <c r="A37" s="907"/>
      <c r="B37" s="996">
        <v>94</v>
      </c>
      <c r="C37" s="3066" t="s">
        <v>1047</v>
      </c>
      <c r="D37" s="3242">
        <v>5</v>
      </c>
      <c r="E37" s="924"/>
      <c r="F37" s="1019">
        <v>730</v>
      </c>
      <c r="G37" s="924"/>
      <c r="H37" s="3242">
        <v>4.6399999999999997</v>
      </c>
      <c r="I37" s="924"/>
      <c r="J37" s="1019">
        <v>679</v>
      </c>
      <c r="K37" s="924"/>
      <c r="L37" s="3246">
        <f t="shared" si="0"/>
        <v>0.36000000000000032</v>
      </c>
      <c r="M37" s="924"/>
      <c r="N37" s="936">
        <f t="shared" si="3"/>
        <v>51</v>
      </c>
      <c r="O37" s="909"/>
      <c r="P37" s="906"/>
      <c r="Q37" s="909"/>
      <c r="R37" s="901"/>
    </row>
    <row r="38" spans="1:18" ht="12.75" customHeight="1">
      <c r="A38" s="907"/>
      <c r="B38" s="996">
        <v>97</v>
      </c>
      <c r="C38" s="3065" t="s">
        <v>241</v>
      </c>
      <c r="D38" s="3242">
        <v>7</v>
      </c>
      <c r="E38" s="924"/>
      <c r="F38" s="1019">
        <v>1860</v>
      </c>
      <c r="G38" s="924"/>
      <c r="H38" s="3242">
        <v>7.68</v>
      </c>
      <c r="I38" s="924"/>
      <c r="J38" s="1019">
        <v>1741</v>
      </c>
      <c r="K38" s="924"/>
      <c r="L38" s="3246">
        <f t="shared" si="0"/>
        <v>-0.67999999999999972</v>
      </c>
      <c r="M38" s="924"/>
      <c r="N38" s="936">
        <f t="shared" si="3"/>
        <v>119</v>
      </c>
      <c r="O38" s="909"/>
      <c r="P38" s="906"/>
      <c r="Q38" s="909"/>
      <c r="R38" s="901"/>
    </row>
    <row r="39" spans="1:18" ht="12.75" customHeight="1">
      <c r="A39" s="907"/>
      <c r="B39" s="996">
        <v>98</v>
      </c>
      <c r="C39" s="921" t="s">
        <v>1051</v>
      </c>
      <c r="D39" s="3242"/>
      <c r="E39" s="924"/>
      <c r="F39" s="1019">
        <v>500</v>
      </c>
      <c r="G39" s="924"/>
      <c r="H39" s="3242"/>
      <c r="I39" s="924"/>
      <c r="J39" s="1019"/>
      <c r="K39" s="924"/>
      <c r="L39" s="3246">
        <f t="shared" si="0"/>
        <v>0</v>
      </c>
      <c r="M39" s="924"/>
      <c r="N39" s="936">
        <f t="shared" si="3"/>
        <v>500</v>
      </c>
      <c r="O39" s="909"/>
      <c r="P39" s="906"/>
      <c r="Q39" s="909"/>
      <c r="R39" s="901"/>
    </row>
    <row r="40" spans="1:18" ht="12.75" customHeight="1">
      <c r="A40" s="907"/>
      <c r="B40" s="910"/>
      <c r="C40" s="921" t="s">
        <v>242</v>
      </c>
      <c r="D40" s="3243">
        <f>SUM(D34:D39)</f>
        <v>76</v>
      </c>
      <c r="E40" s="924"/>
      <c r="F40" s="1112">
        <f>SUM(F34:F39)</f>
        <v>12898</v>
      </c>
      <c r="G40" s="924"/>
      <c r="H40" s="3243">
        <f>SUM(H34:H39)</f>
        <v>74.66</v>
      </c>
      <c r="I40" s="924"/>
      <c r="J40" s="1112">
        <f>SUM(J34:J39)</f>
        <v>12919</v>
      </c>
      <c r="K40" s="924"/>
      <c r="L40" s="3243">
        <f t="shared" si="0"/>
        <v>1.3400000000000034</v>
      </c>
      <c r="M40" s="924"/>
      <c r="N40" s="1114">
        <f t="shared" si="3"/>
        <v>-21</v>
      </c>
      <c r="O40" s="909"/>
      <c r="P40" s="906"/>
      <c r="Q40" s="909"/>
      <c r="R40" s="901"/>
    </row>
    <row r="41" spans="1:18" ht="12.75" customHeight="1">
      <c r="A41" s="907"/>
      <c r="B41" s="910"/>
      <c r="C41" s="921"/>
      <c r="D41" s="3244"/>
      <c r="E41" s="921"/>
      <c r="F41" s="921"/>
      <c r="G41" s="921"/>
      <c r="H41" s="3244"/>
      <c r="I41" s="921"/>
      <c r="J41" s="921"/>
      <c r="K41" s="921"/>
      <c r="L41" s="3244"/>
      <c r="M41" s="921"/>
      <c r="N41" s="922"/>
      <c r="O41" s="909"/>
      <c r="P41" s="906"/>
      <c r="Q41" s="909"/>
      <c r="R41" s="901"/>
    </row>
    <row r="42" spans="1:18" ht="12.75" customHeight="1">
      <c r="A42" s="907"/>
      <c r="B42" s="923"/>
      <c r="C42" s="3065" t="s">
        <v>243</v>
      </c>
      <c r="D42" s="3242">
        <v>319</v>
      </c>
      <c r="E42" s="924"/>
      <c r="F42" s="1019">
        <v>50180</v>
      </c>
      <c r="G42" s="924"/>
      <c r="H42" s="3242">
        <v>338.32</v>
      </c>
      <c r="I42" s="924"/>
      <c r="J42" s="1019">
        <f>25637+1552+2715+16183+593+101</f>
        <v>46781</v>
      </c>
      <c r="K42" s="924"/>
      <c r="L42" s="3246">
        <f t="shared" si="0"/>
        <v>-19.319999999999993</v>
      </c>
      <c r="M42" s="924"/>
      <c r="N42" s="936">
        <f>F42-J42</f>
        <v>3399</v>
      </c>
      <c r="O42" s="909"/>
      <c r="P42" s="906"/>
      <c r="Q42" s="909"/>
      <c r="R42" s="901"/>
    </row>
    <row r="43" spans="1:18" ht="12.75" customHeight="1">
      <c r="A43" s="907"/>
      <c r="B43" s="923"/>
      <c r="C43" s="3065"/>
      <c r="D43" s="3244"/>
      <c r="E43" s="921"/>
      <c r="F43" s="921"/>
      <c r="G43" s="921"/>
      <c r="H43" s="3244"/>
      <c r="I43" s="921"/>
      <c r="J43" s="921"/>
      <c r="K43" s="921"/>
      <c r="L43" s="3244"/>
      <c r="M43" s="921"/>
      <c r="N43" s="922"/>
      <c r="O43" s="909"/>
      <c r="P43" s="906"/>
      <c r="Q43" s="909"/>
      <c r="R43" s="901"/>
    </row>
    <row r="44" spans="1:18" ht="12.75" customHeight="1" thickBot="1">
      <c r="A44" s="907"/>
      <c r="B44" s="923"/>
      <c r="C44" s="3065" t="s">
        <v>481</v>
      </c>
      <c r="D44" s="3245">
        <f>D13+D22+D32+D40+D42</f>
        <v>1954</v>
      </c>
      <c r="E44" s="924"/>
      <c r="F44" s="1118">
        <f>F13+F22+F32+F40+F42</f>
        <v>332705</v>
      </c>
      <c r="G44" s="924"/>
      <c r="H44" s="3245">
        <f>H13+H22+H32+H40+H42</f>
        <v>1939.3100000000002</v>
      </c>
      <c r="I44" s="924"/>
      <c r="J44" s="1118">
        <f>J13+J22+J32+J40+J42</f>
        <v>319902</v>
      </c>
      <c r="K44" s="924" t="s">
        <v>506</v>
      </c>
      <c r="L44" s="3245">
        <f t="shared" si="0"/>
        <v>14.689999999999827</v>
      </c>
      <c r="M44" s="924"/>
      <c r="N44" s="1120">
        <f>F44-J44</f>
        <v>12803</v>
      </c>
      <c r="O44" s="909"/>
      <c r="P44" s="906"/>
      <c r="Q44" s="909"/>
      <c r="R44" s="901"/>
    </row>
    <row r="45" spans="1:18" ht="12.75" customHeight="1" thickTop="1">
      <c r="A45" s="907"/>
      <c r="B45" s="910"/>
      <c r="C45" s="921"/>
      <c r="D45" s="924"/>
      <c r="E45" s="924"/>
      <c r="F45" s="924"/>
      <c r="G45" s="924"/>
      <c r="H45" s="924"/>
      <c r="I45" s="924"/>
      <c r="J45" s="924"/>
      <c r="K45" s="924"/>
      <c r="L45" s="924"/>
      <c r="M45" s="924"/>
      <c r="N45" s="922"/>
      <c r="O45" s="909"/>
      <c r="P45" s="906"/>
      <c r="Q45" s="909"/>
      <c r="R45" s="901"/>
    </row>
    <row r="46" spans="1:18">
      <c r="A46" s="907"/>
      <c r="B46" s="925"/>
      <c r="C46" s="3070" t="s">
        <v>2460</v>
      </c>
      <c r="D46" s="926"/>
      <c r="E46" s="926"/>
      <c r="F46" s="926"/>
      <c r="G46" s="926"/>
      <c r="H46" s="926"/>
      <c r="I46" s="926"/>
      <c r="J46" s="926"/>
      <c r="K46" s="926"/>
      <c r="L46" s="926"/>
      <c r="M46" s="926"/>
      <c r="N46" s="927"/>
      <c r="O46" s="909"/>
      <c r="P46" s="3071"/>
      <c r="Q46" s="909"/>
      <c r="R46" s="901"/>
    </row>
    <row r="47" spans="1:18">
      <c r="A47" s="907"/>
      <c r="B47" s="921"/>
      <c r="C47" s="3074"/>
      <c r="D47" s="924"/>
      <c r="E47" s="924"/>
      <c r="F47" s="924"/>
      <c r="G47" s="924"/>
      <c r="H47" s="924"/>
      <c r="I47" s="924"/>
      <c r="J47" s="924"/>
      <c r="K47" s="924"/>
      <c r="L47" s="924"/>
      <c r="M47" s="924"/>
      <c r="N47" s="3071"/>
      <c r="O47" s="909"/>
      <c r="P47" s="3071"/>
      <c r="Q47" s="909"/>
      <c r="R47" s="901"/>
    </row>
    <row r="48" spans="1:18">
      <c r="A48" s="907"/>
      <c r="B48" s="913"/>
      <c r="C48" s="913"/>
      <c r="D48" s="928"/>
      <c r="E48" s="928"/>
      <c r="F48" s="928"/>
      <c r="G48" s="928"/>
      <c r="H48" s="928"/>
      <c r="I48" s="928"/>
      <c r="J48" s="928"/>
      <c r="K48" s="928"/>
      <c r="L48" s="928"/>
      <c r="M48" s="928"/>
      <c r="N48" s="929"/>
      <c r="O48" s="929"/>
      <c r="P48" s="929"/>
      <c r="Q48" s="909"/>
      <c r="R48" s="901"/>
    </row>
    <row r="49" spans="1:18">
      <c r="A49" s="907"/>
      <c r="B49" s="930"/>
      <c r="C49" s="3617" t="s">
        <v>249</v>
      </c>
      <c r="D49" s="3619" t="str">
        <f>CONCATENATE("תקציב"," ",Shana)</f>
        <v>תקציב 2015</v>
      </c>
      <c r="E49" s="3619"/>
      <c r="F49" s="3619"/>
      <c r="G49" s="3619"/>
      <c r="H49" s="3619"/>
      <c r="I49" s="932"/>
      <c r="J49" s="3620" t="str">
        <f>CONCATENATE("ביצוע"," ",Shana)</f>
        <v>ביצוע 2015</v>
      </c>
      <c r="K49" s="3620"/>
      <c r="L49" s="3620"/>
      <c r="M49" s="3620"/>
      <c r="N49" s="3621"/>
      <c r="O49" s="3072"/>
      <c r="P49" s="3069" t="s">
        <v>250</v>
      </c>
      <c r="Q49" s="909"/>
      <c r="R49" s="901"/>
    </row>
    <row r="50" spans="1:18">
      <c r="A50" s="907"/>
      <c r="B50" s="930"/>
      <c r="C50" s="3618"/>
      <c r="D50" s="931" t="s">
        <v>252</v>
      </c>
      <c r="E50" s="932"/>
      <c r="F50" s="933" t="s">
        <v>251</v>
      </c>
      <c r="G50" s="3620" t="s">
        <v>253</v>
      </c>
      <c r="H50" s="3620"/>
      <c r="I50" s="3620"/>
      <c r="J50" s="931" t="s">
        <v>252</v>
      </c>
      <c r="K50" s="932"/>
      <c r="L50" s="933" t="s">
        <v>251</v>
      </c>
      <c r="M50" s="3620" t="s">
        <v>253</v>
      </c>
      <c r="N50" s="3620"/>
      <c r="O50" s="3620"/>
      <c r="P50" s="3069"/>
      <c r="Q50" s="909"/>
      <c r="R50" s="901"/>
    </row>
    <row r="51" spans="1:18">
      <c r="A51" s="907"/>
      <c r="B51" s="910"/>
      <c r="C51" s="924"/>
      <c r="D51" s="924"/>
      <c r="E51" s="924"/>
      <c r="F51" s="924"/>
      <c r="G51" s="924"/>
      <c r="H51" s="924"/>
      <c r="I51" s="924"/>
      <c r="J51" s="924"/>
      <c r="K51" s="924"/>
      <c r="L51" s="924"/>
      <c r="M51" s="924"/>
      <c r="N51" s="924"/>
      <c r="O51" s="924"/>
      <c r="P51" s="934"/>
      <c r="Q51" s="909"/>
      <c r="R51" s="901"/>
    </row>
    <row r="52" spans="1:18">
      <c r="A52" s="907"/>
      <c r="B52" s="923"/>
      <c r="C52" s="1019" t="s">
        <v>2571</v>
      </c>
      <c r="D52" s="1019"/>
      <c r="E52" s="924"/>
      <c r="F52" s="1019">
        <v>2931</v>
      </c>
      <c r="G52" s="924"/>
      <c r="H52" s="1019"/>
      <c r="I52" s="924"/>
      <c r="J52" s="1019"/>
      <c r="K52" s="924"/>
      <c r="L52" s="1019">
        <v>2090</v>
      </c>
      <c r="M52" s="911"/>
      <c r="N52" s="1019"/>
      <c r="O52" s="911"/>
      <c r="P52" s="935">
        <f>F52-L52</f>
        <v>841</v>
      </c>
      <c r="Q52" s="909"/>
      <c r="R52" s="901"/>
    </row>
    <row r="53" spans="1:18">
      <c r="A53" s="907"/>
      <c r="B53" s="912"/>
      <c r="C53" s="937"/>
      <c r="D53" s="937"/>
      <c r="E53" s="937"/>
      <c r="F53" s="937"/>
      <c r="G53" s="937"/>
      <c r="H53" s="937"/>
      <c r="I53" s="937"/>
      <c r="J53" s="937"/>
      <c r="K53" s="937"/>
      <c r="L53" s="937"/>
      <c r="M53" s="937"/>
      <c r="N53" s="937"/>
      <c r="O53" s="937"/>
      <c r="P53" s="938"/>
      <c r="Q53" s="909"/>
      <c r="R53" s="901"/>
    </row>
    <row r="54" spans="1:18" ht="13.8" thickBot="1">
      <c r="A54" s="939"/>
      <c r="B54" s="907"/>
      <c r="C54" s="915"/>
      <c r="D54" s="915"/>
      <c r="E54" s="940"/>
      <c r="F54" s="915"/>
      <c r="G54" s="940"/>
      <c r="H54" s="915"/>
      <c r="I54" s="940"/>
      <c r="J54" s="915"/>
      <c r="K54" s="940"/>
      <c r="L54" s="915"/>
      <c r="M54" s="940"/>
      <c r="N54" s="909"/>
      <c r="O54" s="909"/>
      <c r="P54" s="909"/>
      <c r="Q54" s="909"/>
      <c r="R54" s="901"/>
    </row>
    <row r="55" spans="1:18" ht="13.8" thickTop="1">
      <c r="B55" s="941"/>
      <c r="C55" s="942"/>
      <c r="D55" s="942"/>
      <c r="E55" s="943"/>
      <c r="F55" s="942"/>
      <c r="G55" s="943"/>
      <c r="H55" s="942"/>
      <c r="I55" s="943"/>
      <c r="J55" s="942"/>
      <c r="K55" s="943"/>
      <c r="L55" s="942"/>
      <c r="M55" s="943"/>
      <c r="N55" s="941"/>
      <c r="O55" s="941"/>
      <c r="P55" s="941"/>
      <c r="Q55" s="941"/>
    </row>
    <row r="56" spans="1:18">
      <c r="B56" s="944"/>
      <c r="C56" s="945"/>
      <c r="D56" s="945"/>
      <c r="E56" s="946"/>
      <c r="F56" s="945"/>
      <c r="G56" s="946"/>
      <c r="H56" s="945"/>
      <c r="I56" s="946"/>
      <c r="J56" s="945"/>
      <c r="K56" s="946"/>
      <c r="L56" s="945"/>
      <c r="M56" s="946"/>
    </row>
    <row r="57" spans="1:18">
      <c r="B57" s="944"/>
      <c r="C57" s="945"/>
      <c r="D57" s="945"/>
      <c r="E57" s="946"/>
      <c r="F57" s="945"/>
      <c r="G57" s="946"/>
      <c r="H57" s="945"/>
      <c r="I57" s="946"/>
      <c r="J57" s="945"/>
      <c r="K57" s="946"/>
      <c r="L57" s="945"/>
      <c r="M57" s="946"/>
    </row>
    <row r="58" spans="1:18">
      <c r="B58" s="944"/>
      <c r="C58" s="945"/>
      <c r="D58" s="945"/>
      <c r="E58" s="946"/>
      <c r="F58" s="945"/>
      <c r="G58" s="946"/>
      <c r="H58" s="945"/>
      <c r="I58" s="946"/>
      <c r="J58" s="945"/>
      <c r="K58" s="946"/>
      <c r="L58" s="945"/>
      <c r="M58" s="946"/>
    </row>
    <row r="59" spans="1:18">
      <c r="B59" s="944"/>
      <c r="C59" s="945"/>
      <c r="D59" s="945"/>
      <c r="E59" s="946"/>
      <c r="F59" s="945"/>
      <c r="G59" s="946"/>
      <c r="H59" s="945"/>
      <c r="I59" s="946"/>
      <c r="J59" s="945"/>
      <c r="K59" s="946"/>
      <c r="L59" s="945"/>
      <c r="M59" s="946"/>
    </row>
    <row r="60" spans="1:18">
      <c r="B60" s="944"/>
      <c r="C60" s="945"/>
      <c r="D60" s="945"/>
      <c r="E60" s="946"/>
      <c r="F60" s="945"/>
      <c r="G60" s="946"/>
      <c r="H60" s="945"/>
      <c r="I60" s="946"/>
      <c r="J60" s="945"/>
      <c r="K60" s="946"/>
      <c r="L60" s="945"/>
      <c r="M60" s="946"/>
    </row>
    <row r="61" spans="1:18">
      <c r="B61" s="944"/>
      <c r="C61" s="945"/>
      <c r="D61" s="945"/>
      <c r="E61" s="946"/>
      <c r="F61" s="945"/>
      <c r="G61" s="946"/>
      <c r="H61" s="945"/>
      <c r="I61" s="946"/>
      <c r="J61" s="945"/>
      <c r="K61" s="946"/>
      <c r="L61" s="945"/>
      <c r="M61" s="946"/>
    </row>
    <row r="62" spans="1:18">
      <c r="B62" s="944"/>
      <c r="C62" s="945"/>
      <c r="D62" s="945"/>
      <c r="E62" s="946"/>
      <c r="F62" s="945"/>
      <c r="G62" s="946"/>
      <c r="H62" s="945"/>
      <c r="I62" s="946"/>
      <c r="J62" s="945"/>
      <c r="K62" s="946"/>
      <c r="L62" s="945"/>
      <c r="M62" s="946"/>
    </row>
    <row r="63" spans="1:18">
      <c r="B63" s="944"/>
      <c r="C63" s="945"/>
      <c r="D63" s="945"/>
      <c r="E63" s="946"/>
      <c r="F63" s="945"/>
      <c r="G63" s="946"/>
      <c r="H63" s="945"/>
      <c r="I63" s="946"/>
      <c r="J63" s="945"/>
      <c r="K63" s="946"/>
      <c r="L63" s="945"/>
      <c r="M63" s="946"/>
    </row>
    <row r="64" spans="1:18">
      <c r="B64" s="944"/>
      <c r="C64" s="945"/>
      <c r="D64" s="945"/>
      <c r="E64" s="946"/>
      <c r="F64" s="945"/>
      <c r="G64" s="946"/>
      <c r="H64" s="945"/>
      <c r="I64" s="946"/>
      <c r="J64" s="945"/>
      <c r="K64" s="946"/>
      <c r="L64" s="945"/>
      <c r="M64" s="946"/>
    </row>
    <row r="65" spans="2:13">
      <c r="B65" s="944"/>
      <c r="C65" s="945"/>
      <c r="D65" s="945"/>
      <c r="E65" s="946"/>
      <c r="F65" s="945"/>
      <c r="G65" s="946"/>
      <c r="H65" s="945"/>
      <c r="I65" s="946"/>
      <c r="J65" s="945"/>
      <c r="K65" s="946"/>
      <c r="L65" s="945"/>
      <c r="M65" s="946"/>
    </row>
    <row r="66" spans="2:13">
      <c r="B66" s="944"/>
      <c r="C66" s="945"/>
      <c r="D66" s="945"/>
      <c r="E66" s="946"/>
      <c r="F66" s="945"/>
      <c r="G66" s="946"/>
      <c r="H66" s="945"/>
      <c r="I66" s="946"/>
      <c r="J66" s="945"/>
      <c r="K66" s="946"/>
      <c r="L66" s="945"/>
      <c r="M66" s="946"/>
    </row>
    <row r="67" spans="2:13">
      <c r="B67" s="944"/>
      <c r="C67" s="945"/>
      <c r="D67" s="945"/>
      <c r="E67" s="946"/>
      <c r="F67" s="945"/>
      <c r="G67" s="946"/>
      <c r="H67" s="945"/>
      <c r="I67" s="946"/>
      <c r="J67" s="945"/>
      <c r="K67" s="946"/>
      <c r="L67" s="945"/>
      <c r="M67" s="946"/>
    </row>
    <row r="68" spans="2:13">
      <c r="B68" s="944"/>
      <c r="C68" s="945"/>
      <c r="D68" s="945"/>
      <c r="E68" s="946"/>
      <c r="F68" s="945"/>
      <c r="G68" s="946"/>
      <c r="H68" s="945"/>
      <c r="I68" s="946"/>
      <c r="J68" s="945"/>
      <c r="K68" s="946"/>
      <c r="L68" s="945"/>
      <c r="M68" s="946"/>
    </row>
    <row r="69" spans="2:13">
      <c r="B69" s="944"/>
      <c r="C69" s="945"/>
      <c r="D69" s="945"/>
      <c r="E69" s="946"/>
      <c r="F69" s="945"/>
      <c r="G69" s="946"/>
      <c r="H69" s="945"/>
      <c r="I69" s="946"/>
      <c r="J69" s="945"/>
      <c r="K69" s="946"/>
      <c r="L69" s="945"/>
      <c r="M69" s="946"/>
    </row>
    <row r="70" spans="2:13">
      <c r="B70" s="944"/>
      <c r="C70" s="945"/>
      <c r="D70" s="945"/>
      <c r="E70" s="946"/>
      <c r="F70" s="945"/>
      <c r="G70" s="946"/>
      <c r="H70" s="945"/>
      <c r="I70" s="946"/>
      <c r="J70" s="945"/>
      <c r="K70" s="946"/>
      <c r="L70" s="945"/>
      <c r="M70" s="946"/>
    </row>
    <row r="71" spans="2:13">
      <c r="B71" s="944"/>
      <c r="C71" s="945"/>
      <c r="D71" s="945"/>
      <c r="E71" s="946"/>
      <c r="F71" s="945"/>
      <c r="G71" s="946"/>
      <c r="H71" s="945"/>
      <c r="I71" s="946"/>
      <c r="J71" s="945"/>
      <c r="K71" s="946"/>
      <c r="L71" s="945"/>
      <c r="M71" s="946"/>
    </row>
    <row r="72" spans="2:13">
      <c r="B72" s="944"/>
      <c r="C72" s="945"/>
      <c r="D72" s="945"/>
      <c r="E72" s="946"/>
      <c r="F72" s="945"/>
      <c r="G72" s="946"/>
      <c r="H72" s="945"/>
      <c r="I72" s="946"/>
      <c r="J72" s="945"/>
      <c r="K72" s="946"/>
      <c r="L72" s="945"/>
      <c r="M72" s="946"/>
    </row>
    <row r="73" spans="2:13">
      <c r="B73" s="944"/>
      <c r="C73" s="945"/>
      <c r="D73" s="945"/>
      <c r="E73" s="946"/>
      <c r="F73" s="945"/>
      <c r="G73" s="946"/>
      <c r="H73" s="945"/>
      <c r="I73" s="946"/>
      <c r="J73" s="945"/>
      <c r="K73" s="946"/>
      <c r="L73" s="945"/>
      <c r="M73" s="946"/>
    </row>
    <row r="74" spans="2:13">
      <c r="B74" s="944"/>
      <c r="C74" s="945"/>
      <c r="D74" s="945"/>
      <c r="E74" s="946"/>
      <c r="F74" s="945"/>
      <c r="G74" s="946"/>
      <c r="H74" s="945"/>
      <c r="I74" s="946"/>
      <c r="J74" s="945"/>
      <c r="K74" s="946"/>
      <c r="L74" s="945"/>
      <c r="M74" s="946"/>
    </row>
    <row r="75" spans="2:13">
      <c r="B75" s="944"/>
      <c r="C75" s="945"/>
      <c r="D75" s="945"/>
      <c r="E75" s="946"/>
      <c r="F75" s="945"/>
      <c r="G75" s="946"/>
      <c r="H75" s="945"/>
      <c r="I75" s="946"/>
      <c r="J75" s="945"/>
      <c r="K75" s="946"/>
      <c r="L75" s="945"/>
      <c r="M75" s="946"/>
    </row>
    <row r="76" spans="2:13">
      <c r="B76" s="944"/>
      <c r="C76" s="945"/>
      <c r="D76" s="945"/>
      <c r="E76" s="946"/>
      <c r="F76" s="945"/>
      <c r="G76" s="946"/>
      <c r="H76" s="945"/>
      <c r="I76" s="946"/>
      <c r="J76" s="945"/>
      <c r="K76" s="946"/>
      <c r="L76" s="945"/>
      <c r="M76" s="946"/>
    </row>
    <row r="77" spans="2:13">
      <c r="B77" s="944"/>
      <c r="C77" s="945"/>
      <c r="D77" s="945"/>
      <c r="E77" s="946"/>
      <c r="F77" s="945"/>
      <c r="G77" s="946"/>
      <c r="H77" s="945"/>
      <c r="I77" s="946"/>
      <c r="J77" s="945"/>
      <c r="K77" s="946"/>
      <c r="L77" s="945"/>
      <c r="M77" s="946"/>
    </row>
    <row r="78" spans="2:13">
      <c r="B78" s="944"/>
      <c r="C78" s="945"/>
      <c r="D78" s="945"/>
      <c r="E78" s="946"/>
      <c r="F78" s="945"/>
      <c r="G78" s="946"/>
      <c r="H78" s="945"/>
      <c r="I78" s="946"/>
      <c r="J78" s="945"/>
      <c r="K78" s="946"/>
      <c r="L78" s="945"/>
      <c r="M78" s="946"/>
    </row>
    <row r="79" spans="2:13">
      <c r="B79" s="944"/>
      <c r="C79" s="945"/>
      <c r="D79" s="945"/>
      <c r="E79" s="946"/>
      <c r="F79" s="945"/>
      <c r="G79" s="946"/>
      <c r="H79" s="945"/>
      <c r="I79" s="946"/>
      <c r="J79" s="945"/>
      <c r="K79" s="946"/>
      <c r="L79" s="945"/>
      <c r="M79" s="946"/>
    </row>
    <row r="80" spans="2:13">
      <c r="B80" s="944"/>
      <c r="C80" s="945"/>
      <c r="D80" s="945"/>
      <c r="E80" s="946"/>
      <c r="F80" s="945"/>
      <c r="G80" s="946"/>
      <c r="H80" s="945"/>
      <c r="I80" s="946"/>
      <c r="J80" s="945"/>
      <c r="K80" s="946"/>
      <c r="L80" s="945"/>
      <c r="M80" s="946"/>
    </row>
    <row r="81" spans="2:13">
      <c r="B81" s="944"/>
      <c r="C81" s="945"/>
      <c r="D81" s="945"/>
      <c r="E81" s="946"/>
      <c r="F81" s="945"/>
      <c r="G81" s="946"/>
      <c r="H81" s="945"/>
      <c r="I81" s="946"/>
      <c r="J81" s="945"/>
      <c r="K81" s="946"/>
      <c r="L81" s="945"/>
      <c r="M81" s="946"/>
    </row>
    <row r="82" spans="2:13">
      <c r="B82" s="944"/>
      <c r="C82" s="945"/>
      <c r="D82" s="945"/>
      <c r="E82" s="946"/>
      <c r="F82" s="945"/>
      <c r="G82" s="946"/>
      <c r="H82" s="945"/>
      <c r="I82" s="946"/>
      <c r="J82" s="945"/>
      <c r="K82" s="946"/>
      <c r="L82" s="945"/>
      <c r="M82" s="946"/>
    </row>
    <row r="83" spans="2:13">
      <c r="B83" s="944"/>
      <c r="C83" s="945"/>
      <c r="D83" s="945"/>
      <c r="E83" s="946"/>
      <c r="F83" s="945"/>
      <c r="G83" s="946"/>
      <c r="H83" s="945"/>
      <c r="I83" s="946"/>
      <c r="J83" s="945"/>
      <c r="K83" s="946"/>
      <c r="L83" s="945"/>
      <c r="M83" s="946"/>
    </row>
    <row r="84" spans="2:13">
      <c r="B84" s="944"/>
      <c r="C84" s="945"/>
      <c r="D84" s="945"/>
      <c r="E84" s="946"/>
      <c r="F84" s="945"/>
      <c r="G84" s="946"/>
      <c r="H84" s="945"/>
      <c r="I84" s="946"/>
      <c r="J84" s="945"/>
      <c r="K84" s="946"/>
      <c r="L84" s="945"/>
      <c r="M84" s="946"/>
    </row>
    <row r="85" spans="2:13">
      <c r="B85" s="944"/>
      <c r="C85" s="945"/>
      <c r="D85" s="945"/>
      <c r="E85" s="946"/>
      <c r="F85" s="945"/>
      <c r="G85" s="946"/>
      <c r="H85" s="945"/>
      <c r="I85" s="946"/>
      <c r="J85" s="945"/>
      <c r="K85" s="946"/>
      <c r="L85" s="945"/>
      <c r="M85" s="946"/>
    </row>
    <row r="86" spans="2:13">
      <c r="B86" s="944"/>
      <c r="C86" s="945"/>
      <c r="D86" s="945"/>
      <c r="E86" s="946"/>
      <c r="F86" s="945"/>
      <c r="G86" s="946"/>
      <c r="H86" s="945"/>
      <c r="I86" s="946"/>
      <c r="J86" s="945"/>
      <c r="K86" s="946"/>
      <c r="L86" s="945"/>
      <c r="M86" s="946"/>
    </row>
    <row r="87" spans="2:13">
      <c r="B87" s="944"/>
      <c r="C87" s="945"/>
      <c r="D87" s="945"/>
      <c r="E87" s="946"/>
      <c r="F87" s="945"/>
      <c r="G87" s="946"/>
      <c r="H87" s="945"/>
      <c r="I87" s="946"/>
      <c r="J87" s="945"/>
      <c r="K87" s="946"/>
      <c r="L87" s="945"/>
      <c r="M87" s="946"/>
    </row>
    <row r="88" spans="2:13">
      <c r="B88" s="944"/>
      <c r="C88" s="945"/>
      <c r="D88" s="945"/>
      <c r="E88" s="946"/>
      <c r="F88" s="945"/>
      <c r="G88" s="946"/>
      <c r="H88" s="945"/>
      <c r="I88" s="946"/>
      <c r="J88" s="945"/>
      <c r="K88" s="946"/>
      <c r="L88" s="945"/>
      <c r="M88" s="946"/>
    </row>
    <row r="89" spans="2:13">
      <c r="B89" s="944"/>
      <c r="C89" s="945"/>
      <c r="D89" s="945"/>
      <c r="E89" s="946"/>
      <c r="F89" s="945"/>
      <c r="G89" s="946"/>
      <c r="H89" s="945"/>
      <c r="I89" s="946"/>
      <c r="J89" s="945"/>
      <c r="K89" s="946"/>
      <c r="L89" s="945"/>
      <c r="M89" s="946"/>
    </row>
    <row r="90" spans="2:13">
      <c r="B90" s="947"/>
      <c r="C90" s="948"/>
      <c r="D90" s="948"/>
      <c r="E90" s="949"/>
      <c r="F90" s="948"/>
      <c r="G90" s="949"/>
      <c r="H90" s="948"/>
      <c r="I90" s="949"/>
      <c r="J90" s="948"/>
      <c r="K90" s="949"/>
      <c r="L90" s="948"/>
      <c r="M90" s="949"/>
    </row>
    <row r="91" spans="2:13">
      <c r="B91" s="947"/>
      <c r="C91" s="948"/>
      <c r="D91" s="948"/>
      <c r="E91" s="949"/>
      <c r="F91" s="948"/>
      <c r="G91" s="949"/>
      <c r="H91" s="948"/>
      <c r="I91" s="949"/>
      <c r="J91" s="948"/>
      <c r="K91" s="949"/>
      <c r="L91" s="948"/>
      <c r="M91" s="949"/>
    </row>
    <row r="92" spans="2:13">
      <c r="B92" s="947"/>
      <c r="C92" s="948"/>
      <c r="D92" s="948"/>
      <c r="E92" s="949"/>
      <c r="F92" s="948"/>
      <c r="G92" s="949"/>
      <c r="H92" s="948"/>
      <c r="I92" s="949"/>
      <c r="J92" s="948"/>
      <c r="K92" s="949"/>
      <c r="L92" s="948"/>
      <c r="M92" s="949"/>
    </row>
    <row r="93" spans="2:13">
      <c r="B93" s="947"/>
      <c r="C93" s="948"/>
      <c r="D93" s="948"/>
      <c r="E93" s="949"/>
      <c r="F93" s="948"/>
      <c r="G93" s="949"/>
      <c r="H93" s="948"/>
      <c r="I93" s="949"/>
      <c r="J93" s="948"/>
      <c r="K93" s="949"/>
      <c r="L93" s="948"/>
      <c r="M93" s="949"/>
    </row>
    <row r="94" spans="2:13">
      <c r="B94" s="947"/>
      <c r="C94" s="948"/>
      <c r="D94" s="948"/>
      <c r="E94" s="949"/>
      <c r="F94" s="948"/>
      <c r="G94" s="949"/>
      <c r="H94" s="948"/>
      <c r="I94" s="949"/>
      <c r="J94" s="948"/>
      <c r="K94" s="949"/>
      <c r="L94" s="948"/>
      <c r="M94" s="949"/>
    </row>
    <row r="95" spans="2:13">
      <c r="B95" s="947"/>
      <c r="C95" s="948"/>
      <c r="D95" s="948"/>
      <c r="E95" s="949"/>
      <c r="F95" s="948"/>
      <c r="G95" s="949"/>
      <c r="H95" s="948"/>
      <c r="I95" s="949"/>
      <c r="J95" s="948"/>
      <c r="K95" s="949"/>
      <c r="L95" s="948"/>
      <c r="M95" s="949"/>
    </row>
    <row r="96" spans="2:13">
      <c r="B96" s="947"/>
      <c r="C96" s="948"/>
      <c r="D96" s="948"/>
      <c r="E96" s="949"/>
      <c r="F96" s="948"/>
      <c r="G96" s="949"/>
      <c r="H96" s="948"/>
      <c r="I96" s="949"/>
      <c r="J96" s="948"/>
      <c r="K96" s="949"/>
      <c r="L96" s="948"/>
      <c r="M96" s="949"/>
    </row>
    <row r="97" spans="2:13">
      <c r="B97" s="947"/>
      <c r="C97" s="948"/>
      <c r="D97" s="948"/>
      <c r="E97" s="949"/>
      <c r="F97" s="948"/>
      <c r="G97" s="949"/>
      <c r="H97" s="948"/>
      <c r="I97" s="949"/>
      <c r="J97" s="948"/>
      <c r="K97" s="949"/>
      <c r="L97" s="948"/>
      <c r="M97" s="949"/>
    </row>
    <row r="98" spans="2:13">
      <c r="B98" s="947"/>
      <c r="C98" s="948"/>
      <c r="D98" s="948"/>
      <c r="E98" s="949"/>
      <c r="F98" s="948"/>
      <c r="G98" s="949"/>
      <c r="H98" s="948"/>
      <c r="I98" s="949"/>
      <c r="J98" s="948"/>
      <c r="K98" s="949"/>
      <c r="L98" s="948"/>
      <c r="M98" s="949"/>
    </row>
    <row r="99" spans="2:13">
      <c r="B99" s="947"/>
      <c r="C99" s="948"/>
      <c r="D99" s="948"/>
      <c r="E99" s="949"/>
      <c r="F99" s="948"/>
      <c r="G99" s="949"/>
      <c r="H99" s="948"/>
      <c r="I99" s="949"/>
      <c r="J99" s="948"/>
      <c r="K99" s="949"/>
      <c r="L99" s="948"/>
      <c r="M99" s="949"/>
    </row>
    <row r="100" spans="2:13">
      <c r="B100" s="947"/>
      <c r="C100" s="948"/>
      <c r="D100" s="948"/>
      <c r="E100" s="949"/>
      <c r="F100" s="948"/>
      <c r="G100" s="949"/>
      <c r="H100" s="948"/>
      <c r="I100" s="949"/>
      <c r="J100" s="948"/>
      <c r="K100" s="949"/>
      <c r="L100" s="948"/>
      <c r="M100" s="949"/>
    </row>
    <row r="101" spans="2:13">
      <c r="B101" s="947"/>
      <c r="C101" s="948"/>
      <c r="D101" s="948"/>
      <c r="E101" s="949"/>
      <c r="F101" s="948"/>
      <c r="G101" s="949"/>
      <c r="H101" s="948"/>
      <c r="I101" s="949"/>
      <c r="J101" s="948"/>
      <c r="K101" s="949"/>
      <c r="L101" s="948"/>
      <c r="M101" s="949"/>
    </row>
    <row r="102" spans="2:13">
      <c r="B102" s="947"/>
      <c r="C102" s="948"/>
      <c r="D102" s="948"/>
      <c r="E102" s="949"/>
      <c r="F102" s="948"/>
      <c r="G102" s="949"/>
      <c r="H102" s="948"/>
      <c r="I102" s="949"/>
      <c r="J102" s="948"/>
      <c r="K102" s="949"/>
      <c r="L102" s="948"/>
      <c r="M102" s="949"/>
    </row>
    <row r="103" spans="2:13">
      <c r="B103" s="947"/>
      <c r="C103" s="948"/>
      <c r="D103" s="948"/>
      <c r="E103" s="949"/>
      <c r="F103" s="948"/>
      <c r="G103" s="949"/>
      <c r="H103" s="948"/>
      <c r="I103" s="949"/>
      <c r="J103" s="948"/>
      <c r="K103" s="949"/>
      <c r="L103" s="948"/>
      <c r="M103" s="949"/>
    </row>
    <row r="104" spans="2:13">
      <c r="B104" s="947"/>
      <c r="C104" s="948"/>
      <c r="D104" s="948"/>
      <c r="E104" s="949"/>
      <c r="F104" s="948"/>
      <c r="G104" s="949"/>
      <c r="H104" s="948"/>
      <c r="I104" s="949"/>
      <c r="J104" s="948"/>
      <c r="K104" s="949"/>
      <c r="L104" s="948"/>
      <c r="M104" s="949"/>
    </row>
    <row r="105" spans="2:13">
      <c r="B105" s="947"/>
      <c r="C105" s="948"/>
      <c r="D105" s="948"/>
      <c r="E105" s="949"/>
      <c r="F105" s="948"/>
      <c r="G105" s="949"/>
      <c r="H105" s="948"/>
      <c r="I105" s="949"/>
      <c r="J105" s="948"/>
      <c r="K105" s="949"/>
      <c r="L105" s="948"/>
      <c r="M105" s="949"/>
    </row>
    <row r="106" spans="2:13">
      <c r="B106" s="947"/>
      <c r="C106" s="948"/>
      <c r="D106" s="948"/>
      <c r="E106" s="949"/>
      <c r="F106" s="948"/>
      <c r="G106" s="949"/>
      <c r="H106" s="948"/>
      <c r="I106" s="949"/>
      <c r="J106" s="948"/>
      <c r="K106" s="949"/>
      <c r="L106" s="948"/>
      <c r="M106" s="949"/>
    </row>
    <row r="107" spans="2:13">
      <c r="B107" s="947"/>
      <c r="C107" s="948"/>
      <c r="D107" s="948"/>
      <c r="E107" s="949"/>
      <c r="F107" s="948"/>
      <c r="G107" s="949"/>
      <c r="H107" s="948"/>
      <c r="I107" s="949"/>
      <c r="J107" s="948"/>
      <c r="K107" s="949"/>
      <c r="L107" s="948"/>
      <c r="M107" s="949"/>
    </row>
    <row r="108" spans="2:13">
      <c r="B108" s="947"/>
      <c r="C108" s="948"/>
      <c r="D108" s="948"/>
      <c r="E108" s="949"/>
      <c r="F108" s="948"/>
      <c r="G108" s="949"/>
      <c r="H108" s="948"/>
      <c r="I108" s="949"/>
      <c r="J108" s="948"/>
      <c r="K108" s="949"/>
      <c r="L108" s="948"/>
      <c r="M108" s="949"/>
    </row>
    <row r="109" spans="2:13">
      <c r="B109" s="947"/>
      <c r="C109" s="948"/>
      <c r="D109" s="948"/>
      <c r="E109" s="949"/>
      <c r="F109" s="948"/>
      <c r="G109" s="949"/>
      <c r="H109" s="948"/>
      <c r="I109" s="949"/>
      <c r="J109" s="948"/>
      <c r="K109" s="949"/>
      <c r="L109" s="948"/>
      <c r="M109" s="949"/>
    </row>
    <row r="110" spans="2:13">
      <c r="B110" s="947"/>
      <c r="C110" s="948"/>
      <c r="D110" s="948"/>
      <c r="E110" s="949"/>
      <c r="F110" s="948"/>
      <c r="G110" s="949"/>
      <c r="H110" s="948"/>
      <c r="I110" s="949"/>
      <c r="J110" s="948"/>
      <c r="K110" s="949"/>
      <c r="L110" s="948"/>
      <c r="M110" s="949"/>
    </row>
    <row r="111" spans="2:13">
      <c r="B111" s="947"/>
      <c r="C111" s="948"/>
      <c r="D111" s="948"/>
      <c r="E111" s="949"/>
      <c r="F111" s="948"/>
      <c r="G111" s="949"/>
      <c r="H111" s="948"/>
      <c r="I111" s="949"/>
      <c r="J111" s="948"/>
      <c r="K111" s="949"/>
      <c r="L111" s="948"/>
      <c r="M111" s="949"/>
    </row>
    <row r="112" spans="2:13">
      <c r="B112" s="947"/>
      <c r="C112" s="948"/>
      <c r="D112" s="948"/>
      <c r="E112" s="949"/>
      <c r="F112" s="948"/>
      <c r="G112" s="949"/>
      <c r="H112" s="948"/>
      <c r="I112" s="949"/>
      <c r="J112" s="948"/>
      <c r="K112" s="949"/>
      <c r="L112" s="948"/>
      <c r="M112" s="949"/>
    </row>
    <row r="113" spans="2:13">
      <c r="B113" s="947"/>
      <c r="C113" s="948"/>
      <c r="D113" s="948"/>
      <c r="E113" s="949"/>
      <c r="F113" s="948"/>
      <c r="G113" s="949"/>
      <c r="H113" s="948"/>
      <c r="I113" s="949"/>
      <c r="J113" s="948"/>
      <c r="K113" s="949"/>
      <c r="L113" s="948"/>
      <c r="M113" s="949"/>
    </row>
    <row r="114" spans="2:13">
      <c r="B114" s="947"/>
      <c r="C114" s="948"/>
      <c r="D114" s="948"/>
      <c r="E114" s="949"/>
      <c r="F114" s="948"/>
      <c r="G114" s="949"/>
      <c r="H114" s="948"/>
      <c r="I114" s="949"/>
      <c r="J114" s="948"/>
      <c r="K114" s="949"/>
      <c r="L114" s="948"/>
      <c r="M114" s="949"/>
    </row>
    <row r="115" spans="2:13">
      <c r="B115" s="947"/>
      <c r="C115" s="948"/>
      <c r="D115" s="948"/>
      <c r="E115" s="949"/>
      <c r="F115" s="948"/>
      <c r="G115" s="949"/>
      <c r="H115" s="948"/>
      <c r="I115" s="949"/>
      <c r="J115" s="948"/>
      <c r="K115" s="949"/>
      <c r="L115" s="948"/>
      <c r="M115" s="949"/>
    </row>
    <row r="116" spans="2:13">
      <c r="B116" s="947"/>
      <c r="C116" s="948"/>
      <c r="D116" s="948"/>
      <c r="E116" s="949"/>
      <c r="F116" s="948"/>
      <c r="G116" s="949"/>
      <c r="H116" s="948"/>
      <c r="I116" s="949"/>
      <c r="J116" s="948"/>
      <c r="K116" s="949"/>
      <c r="L116" s="948"/>
      <c r="M116" s="949"/>
    </row>
    <row r="117" spans="2:13">
      <c r="B117" s="947"/>
      <c r="C117" s="948"/>
      <c r="D117" s="948"/>
      <c r="E117" s="949"/>
      <c r="F117" s="948"/>
      <c r="G117" s="949"/>
      <c r="H117" s="948"/>
      <c r="I117" s="949"/>
      <c r="J117" s="948"/>
      <c r="K117" s="949"/>
      <c r="L117" s="948"/>
      <c r="M117" s="949"/>
    </row>
    <row r="118" spans="2:13">
      <c r="B118" s="947"/>
      <c r="C118" s="948"/>
      <c r="D118" s="948"/>
      <c r="E118" s="949"/>
      <c r="F118" s="948"/>
      <c r="G118" s="949"/>
      <c r="H118" s="948"/>
      <c r="I118" s="949"/>
      <c r="J118" s="948"/>
      <c r="K118" s="949"/>
      <c r="L118" s="948"/>
      <c r="M118" s="949"/>
    </row>
    <row r="119" spans="2:13">
      <c r="B119" s="947"/>
      <c r="C119" s="948"/>
      <c r="D119" s="948"/>
      <c r="E119" s="949"/>
      <c r="F119" s="948"/>
      <c r="G119" s="949"/>
      <c r="H119" s="948"/>
      <c r="I119" s="949"/>
      <c r="J119" s="948"/>
      <c r="K119" s="949"/>
      <c r="L119" s="948"/>
      <c r="M119" s="949"/>
    </row>
    <row r="120" spans="2:13">
      <c r="B120" s="947"/>
      <c r="C120" s="948"/>
      <c r="D120" s="948"/>
      <c r="E120" s="949"/>
      <c r="F120" s="948"/>
      <c r="G120" s="949"/>
      <c r="H120" s="948"/>
      <c r="I120" s="949"/>
      <c r="J120" s="948"/>
      <c r="K120" s="949"/>
      <c r="L120" s="948"/>
      <c r="M120" s="949"/>
    </row>
    <row r="121" spans="2:13">
      <c r="B121" s="947"/>
      <c r="C121" s="948"/>
      <c r="D121" s="948"/>
      <c r="E121" s="949"/>
      <c r="F121" s="948"/>
      <c r="G121" s="949"/>
      <c r="H121" s="948"/>
      <c r="I121" s="949"/>
      <c r="J121" s="948"/>
      <c r="K121" s="949"/>
      <c r="L121" s="948"/>
      <c r="M121" s="949"/>
    </row>
    <row r="122" spans="2:13">
      <c r="B122" s="947"/>
      <c r="C122" s="948"/>
      <c r="D122" s="948"/>
      <c r="E122" s="949"/>
      <c r="F122" s="948"/>
      <c r="G122" s="949"/>
      <c r="H122" s="948"/>
      <c r="I122" s="949"/>
      <c r="J122" s="948"/>
      <c r="K122" s="949"/>
      <c r="L122" s="948"/>
      <c r="M122" s="949"/>
    </row>
    <row r="123" spans="2:13">
      <c r="B123" s="947"/>
      <c r="C123" s="948"/>
      <c r="D123" s="948"/>
      <c r="E123" s="949"/>
      <c r="F123" s="948"/>
      <c r="G123" s="949"/>
      <c r="H123" s="948"/>
      <c r="I123" s="949"/>
      <c r="J123" s="948"/>
      <c r="K123" s="949"/>
      <c r="L123" s="948"/>
      <c r="M123" s="949"/>
    </row>
    <row r="124" spans="2:13">
      <c r="B124" s="947"/>
      <c r="C124" s="948"/>
      <c r="D124" s="948"/>
      <c r="E124" s="949"/>
      <c r="F124" s="948"/>
      <c r="G124" s="949"/>
      <c r="H124" s="948"/>
      <c r="I124" s="949"/>
      <c r="J124" s="948"/>
      <c r="K124" s="949"/>
      <c r="L124" s="948"/>
      <c r="M124" s="949"/>
    </row>
    <row r="125" spans="2:13">
      <c r="B125" s="947"/>
      <c r="C125" s="948"/>
      <c r="D125" s="948"/>
      <c r="E125" s="949"/>
      <c r="F125" s="948"/>
      <c r="G125" s="949"/>
      <c r="H125" s="948"/>
      <c r="I125" s="949"/>
      <c r="J125" s="948"/>
      <c r="K125" s="949"/>
      <c r="L125" s="948"/>
      <c r="M125" s="949"/>
    </row>
    <row r="126" spans="2:13">
      <c r="B126" s="947"/>
      <c r="C126" s="948"/>
      <c r="D126" s="948"/>
      <c r="E126" s="949"/>
      <c r="F126" s="948"/>
      <c r="G126" s="949"/>
      <c r="H126" s="948"/>
      <c r="I126" s="949"/>
      <c r="J126" s="948"/>
      <c r="K126" s="949"/>
      <c r="L126" s="948"/>
      <c r="M126" s="949"/>
    </row>
    <row r="127" spans="2:13">
      <c r="B127" s="947"/>
      <c r="C127" s="948"/>
      <c r="D127" s="948"/>
      <c r="E127" s="949"/>
      <c r="F127" s="948"/>
      <c r="G127" s="949"/>
      <c r="H127" s="948"/>
      <c r="I127" s="949"/>
      <c r="J127" s="948"/>
      <c r="K127" s="949"/>
      <c r="L127" s="948"/>
      <c r="M127" s="949"/>
    </row>
    <row r="128" spans="2:13">
      <c r="B128" s="947"/>
      <c r="C128" s="948"/>
      <c r="D128" s="948"/>
      <c r="E128" s="949"/>
      <c r="F128" s="948"/>
      <c r="G128" s="949"/>
      <c r="H128" s="948"/>
      <c r="I128" s="949"/>
      <c r="J128" s="948"/>
      <c r="K128" s="949"/>
      <c r="L128" s="948"/>
      <c r="M128" s="949"/>
    </row>
    <row r="129" spans="2:13">
      <c r="B129" s="947"/>
      <c r="C129" s="948"/>
      <c r="D129" s="948"/>
      <c r="E129" s="949"/>
      <c r="F129" s="948"/>
      <c r="G129" s="949"/>
      <c r="H129" s="948"/>
      <c r="I129" s="949"/>
      <c r="J129" s="948"/>
      <c r="K129" s="949"/>
      <c r="L129" s="948"/>
      <c r="M129" s="949"/>
    </row>
    <row r="130" spans="2:13">
      <c r="B130" s="947"/>
      <c r="C130" s="948"/>
      <c r="D130" s="948"/>
      <c r="E130" s="949"/>
      <c r="F130" s="948"/>
      <c r="G130" s="949"/>
      <c r="H130" s="948"/>
      <c r="I130" s="949"/>
      <c r="J130" s="948"/>
      <c r="K130" s="949"/>
      <c r="L130" s="948"/>
      <c r="M130" s="949"/>
    </row>
    <row r="132" spans="2:13">
      <c r="C132" s="945"/>
      <c r="D132" s="945"/>
      <c r="E132" s="946"/>
      <c r="F132" s="945"/>
      <c r="G132" s="946"/>
      <c r="H132" s="945"/>
      <c r="I132" s="946"/>
      <c r="J132" s="945"/>
      <c r="K132" s="946"/>
      <c r="L132" s="945"/>
    </row>
    <row r="133" spans="2:13">
      <c r="C133" s="945"/>
      <c r="D133" s="945"/>
      <c r="E133" s="946"/>
      <c r="F133" s="945"/>
      <c r="G133" s="946"/>
      <c r="H133" s="945"/>
      <c r="I133" s="946"/>
      <c r="J133" s="945"/>
      <c r="K133" s="946"/>
      <c r="L133" s="945"/>
    </row>
    <row r="134" spans="2:13">
      <c r="B134" s="944"/>
      <c r="C134" s="945"/>
      <c r="D134" s="945"/>
      <c r="E134" s="946"/>
      <c r="F134" s="945"/>
      <c r="G134" s="946"/>
      <c r="H134" s="945"/>
      <c r="I134" s="946"/>
      <c r="J134" s="945"/>
      <c r="K134" s="946"/>
      <c r="L134" s="945"/>
    </row>
    <row r="135" spans="2:13">
      <c r="B135" s="944"/>
      <c r="C135" s="945"/>
      <c r="D135" s="945"/>
      <c r="E135" s="946"/>
      <c r="F135" s="945"/>
      <c r="G135" s="946"/>
      <c r="H135" s="945"/>
      <c r="I135" s="946"/>
      <c r="J135" s="945"/>
      <c r="K135" s="946"/>
      <c r="L135" s="945"/>
    </row>
    <row r="136" spans="2:13">
      <c r="C136" s="945"/>
      <c r="D136" s="945"/>
      <c r="E136" s="946"/>
      <c r="F136" s="945"/>
      <c r="G136" s="946"/>
      <c r="H136" s="945"/>
      <c r="I136" s="946"/>
      <c r="J136" s="945"/>
      <c r="K136" s="946"/>
      <c r="L136" s="945"/>
    </row>
    <row r="137" spans="2:13">
      <c r="B137" s="944"/>
      <c r="C137" s="945"/>
      <c r="D137" s="945"/>
      <c r="E137" s="946"/>
      <c r="F137" s="945"/>
      <c r="G137" s="946"/>
      <c r="H137" s="945"/>
      <c r="I137" s="946"/>
      <c r="J137" s="945"/>
      <c r="K137" s="946"/>
      <c r="L137" s="945"/>
    </row>
    <row r="138" spans="2:13">
      <c r="B138" s="944"/>
      <c r="C138" s="945"/>
      <c r="D138" s="945"/>
      <c r="E138" s="946"/>
      <c r="F138" s="945"/>
      <c r="G138" s="946"/>
      <c r="H138" s="945"/>
      <c r="I138" s="946"/>
      <c r="J138" s="945"/>
      <c r="K138" s="946"/>
      <c r="L138" s="945"/>
    </row>
    <row r="139" spans="2:13">
      <c r="B139" s="944"/>
      <c r="C139" s="945"/>
      <c r="D139" s="945"/>
      <c r="E139" s="946"/>
      <c r="F139" s="945"/>
      <c r="G139" s="946"/>
      <c r="H139" s="945"/>
      <c r="I139" s="946"/>
      <c r="J139" s="945"/>
      <c r="K139" s="946"/>
      <c r="L139" s="945"/>
    </row>
    <row r="140" spans="2:13">
      <c r="B140" s="944"/>
      <c r="C140" s="945"/>
      <c r="D140" s="945"/>
      <c r="E140" s="946"/>
      <c r="F140" s="945"/>
      <c r="G140" s="946"/>
      <c r="H140" s="945"/>
      <c r="I140" s="946"/>
      <c r="J140" s="945"/>
      <c r="K140" s="946"/>
      <c r="L140" s="945"/>
      <c r="M140" s="946"/>
    </row>
    <row r="141" spans="2:13">
      <c r="B141" s="944"/>
      <c r="C141" s="945"/>
      <c r="D141" s="945"/>
      <c r="E141" s="946"/>
      <c r="F141" s="945"/>
      <c r="G141" s="946"/>
      <c r="H141" s="945"/>
      <c r="I141" s="946"/>
      <c r="J141" s="945"/>
      <c r="K141" s="946"/>
      <c r="L141" s="945"/>
      <c r="M141" s="946"/>
    </row>
    <row r="142" spans="2:13">
      <c r="B142" s="944"/>
      <c r="C142" s="945"/>
      <c r="D142" s="945"/>
      <c r="E142" s="946"/>
      <c r="F142" s="945"/>
      <c r="G142" s="946"/>
      <c r="H142" s="945"/>
      <c r="I142" s="946"/>
      <c r="J142" s="945"/>
      <c r="K142" s="946"/>
      <c r="L142" s="945"/>
      <c r="M142" s="946"/>
    </row>
    <row r="143" spans="2:13">
      <c r="B143" s="951"/>
      <c r="C143" s="945"/>
      <c r="D143" s="945"/>
      <c r="E143" s="946"/>
      <c r="F143" s="945"/>
      <c r="G143" s="946"/>
      <c r="H143" s="945"/>
      <c r="I143" s="946"/>
      <c r="J143" s="945"/>
      <c r="K143" s="946"/>
      <c r="L143" s="945"/>
      <c r="M143" s="946"/>
    </row>
    <row r="144" spans="2:13">
      <c r="B144" s="944"/>
      <c r="C144" s="945"/>
      <c r="D144" s="945"/>
      <c r="E144" s="946"/>
      <c r="F144" s="945"/>
      <c r="G144" s="946"/>
      <c r="H144" s="945"/>
      <c r="I144" s="946"/>
      <c r="J144" s="945"/>
      <c r="K144" s="946"/>
      <c r="L144" s="945"/>
      <c r="M144" s="946"/>
    </row>
    <row r="145" spans="2:13">
      <c r="B145" s="944"/>
      <c r="C145" s="945"/>
      <c r="D145" s="945"/>
      <c r="E145" s="946"/>
      <c r="F145" s="945"/>
      <c r="G145" s="946"/>
      <c r="H145" s="945"/>
      <c r="I145" s="946"/>
      <c r="J145" s="945"/>
      <c r="K145" s="946"/>
      <c r="L145" s="945"/>
      <c r="M145" s="946"/>
    </row>
    <row r="146" spans="2:13">
      <c r="B146" s="944"/>
      <c r="C146" s="945"/>
      <c r="D146" s="945"/>
      <c r="E146" s="946"/>
      <c r="F146" s="945"/>
      <c r="G146" s="946"/>
      <c r="H146" s="945"/>
      <c r="I146" s="946"/>
      <c r="J146" s="945"/>
      <c r="K146" s="946"/>
      <c r="L146" s="945"/>
      <c r="M146" s="946"/>
    </row>
    <row r="147" spans="2:13">
      <c r="B147" s="944"/>
      <c r="C147" s="945"/>
      <c r="D147" s="945"/>
      <c r="E147" s="946"/>
      <c r="F147" s="945"/>
      <c r="G147" s="946"/>
      <c r="H147" s="945"/>
      <c r="I147" s="946"/>
      <c r="J147" s="945"/>
      <c r="K147" s="946"/>
      <c r="L147" s="945"/>
      <c r="M147" s="946"/>
    </row>
    <row r="148" spans="2:13">
      <c r="B148" s="944"/>
      <c r="C148" s="945"/>
      <c r="D148" s="945"/>
      <c r="E148" s="946"/>
      <c r="F148" s="945"/>
      <c r="G148" s="946"/>
      <c r="H148" s="945"/>
      <c r="I148" s="946"/>
      <c r="J148" s="945"/>
      <c r="K148" s="946"/>
      <c r="L148" s="945"/>
      <c r="M148" s="946"/>
    </row>
    <row r="149" spans="2:13">
      <c r="B149" s="944"/>
      <c r="C149" s="945"/>
      <c r="D149" s="945"/>
      <c r="E149" s="946"/>
      <c r="F149" s="945"/>
      <c r="G149" s="946"/>
      <c r="H149" s="945"/>
      <c r="I149" s="946"/>
      <c r="J149" s="945"/>
      <c r="K149" s="946"/>
      <c r="L149" s="945"/>
      <c r="M149" s="946"/>
    </row>
    <row r="150" spans="2:13">
      <c r="B150" s="944"/>
      <c r="C150" s="945"/>
      <c r="D150" s="945"/>
      <c r="E150" s="946"/>
      <c r="F150" s="945"/>
      <c r="G150" s="946"/>
      <c r="H150" s="945"/>
      <c r="I150" s="946"/>
      <c r="J150" s="945"/>
      <c r="K150" s="946"/>
      <c r="L150" s="945"/>
      <c r="M150" s="946"/>
    </row>
    <row r="151" spans="2:13">
      <c r="B151" s="944"/>
      <c r="C151" s="945"/>
      <c r="D151" s="945"/>
      <c r="E151" s="946"/>
      <c r="F151" s="945"/>
      <c r="G151" s="946"/>
      <c r="H151" s="945"/>
      <c r="I151" s="946"/>
      <c r="J151" s="945"/>
      <c r="K151" s="946"/>
      <c r="L151" s="945"/>
      <c r="M151" s="946"/>
    </row>
    <row r="152" spans="2:13">
      <c r="B152" s="944"/>
      <c r="C152" s="945"/>
      <c r="D152" s="945"/>
      <c r="E152" s="946"/>
      <c r="F152" s="945"/>
      <c r="G152" s="946"/>
      <c r="H152" s="945"/>
      <c r="I152" s="946"/>
      <c r="J152" s="945"/>
      <c r="K152" s="946"/>
      <c r="L152" s="945"/>
      <c r="M152" s="946"/>
    </row>
    <row r="153" spans="2:13">
      <c r="B153" s="944"/>
      <c r="C153" s="945"/>
      <c r="D153" s="945"/>
      <c r="E153" s="946"/>
      <c r="F153" s="945"/>
      <c r="G153" s="946"/>
      <c r="H153" s="945"/>
      <c r="I153" s="946"/>
      <c r="J153" s="945"/>
      <c r="K153" s="946"/>
      <c r="L153" s="945"/>
      <c r="M153" s="946"/>
    </row>
    <row r="154" spans="2:13">
      <c r="B154" s="944"/>
      <c r="C154" s="945"/>
      <c r="D154" s="945"/>
      <c r="E154" s="946"/>
      <c r="F154" s="945"/>
      <c r="G154" s="946"/>
      <c r="H154" s="945"/>
      <c r="I154" s="946"/>
      <c r="J154" s="945"/>
      <c r="K154" s="946"/>
      <c r="L154" s="945"/>
      <c r="M154" s="946"/>
    </row>
    <row r="155" spans="2:13">
      <c r="B155" s="944"/>
      <c r="C155" s="945"/>
      <c r="D155" s="945"/>
      <c r="E155" s="946"/>
      <c r="F155" s="945"/>
      <c r="G155" s="946"/>
      <c r="H155" s="945"/>
      <c r="I155" s="946"/>
      <c r="J155" s="945"/>
      <c r="K155" s="946"/>
      <c r="L155" s="945"/>
      <c r="M155" s="946"/>
    </row>
    <row r="156" spans="2:13">
      <c r="B156" s="944"/>
      <c r="C156" s="945"/>
      <c r="D156" s="945"/>
      <c r="E156" s="946"/>
      <c r="F156" s="945"/>
      <c r="G156" s="946"/>
      <c r="H156" s="945"/>
      <c r="I156" s="946"/>
      <c r="J156" s="945"/>
      <c r="K156" s="946"/>
      <c r="L156" s="945"/>
      <c r="M156" s="946"/>
    </row>
    <row r="157" spans="2:13">
      <c r="B157" s="944"/>
      <c r="C157" s="945"/>
      <c r="D157" s="945"/>
      <c r="E157" s="946"/>
      <c r="F157" s="945"/>
      <c r="G157" s="946"/>
      <c r="H157" s="945"/>
      <c r="I157" s="946"/>
      <c r="J157" s="945"/>
      <c r="K157" s="946"/>
      <c r="L157" s="945"/>
      <c r="M157" s="946"/>
    </row>
    <row r="158" spans="2:13">
      <c r="B158" s="944"/>
      <c r="C158" s="945"/>
      <c r="D158" s="945"/>
      <c r="E158" s="946"/>
      <c r="F158" s="945"/>
      <c r="G158" s="946"/>
      <c r="H158" s="945"/>
      <c r="I158" s="946"/>
      <c r="J158" s="945"/>
      <c r="K158" s="946"/>
      <c r="L158" s="945"/>
      <c r="M158" s="946"/>
    </row>
    <row r="159" spans="2:13">
      <c r="B159" s="944"/>
      <c r="C159" s="945"/>
      <c r="D159" s="945"/>
      <c r="E159" s="946"/>
      <c r="F159" s="945"/>
      <c r="G159" s="946"/>
      <c r="H159" s="945"/>
      <c r="I159" s="946"/>
      <c r="J159" s="945"/>
      <c r="K159" s="946"/>
      <c r="L159" s="945"/>
      <c r="M159" s="946"/>
    </row>
    <row r="160" spans="2:13">
      <c r="B160" s="944"/>
      <c r="C160" s="945"/>
      <c r="D160" s="945"/>
      <c r="E160" s="946"/>
      <c r="F160" s="945"/>
      <c r="G160" s="946"/>
      <c r="H160" s="945"/>
      <c r="I160" s="946"/>
      <c r="J160" s="945"/>
      <c r="K160" s="946"/>
      <c r="L160" s="945"/>
      <c r="M160" s="946"/>
    </row>
    <row r="161" spans="2:13">
      <c r="B161" s="944"/>
      <c r="C161" s="945"/>
      <c r="D161" s="945"/>
      <c r="E161" s="946"/>
      <c r="F161" s="945"/>
      <c r="G161" s="946"/>
      <c r="H161" s="945"/>
      <c r="I161" s="946"/>
      <c r="J161" s="945"/>
      <c r="K161" s="946"/>
      <c r="L161" s="945"/>
      <c r="M161" s="946"/>
    </row>
    <row r="162" spans="2:13">
      <c r="B162" s="944"/>
      <c r="C162" s="945"/>
      <c r="D162" s="945"/>
      <c r="E162" s="946"/>
      <c r="F162" s="945"/>
      <c r="G162" s="946"/>
      <c r="H162" s="945"/>
      <c r="I162" s="946"/>
      <c r="J162" s="945"/>
      <c r="K162" s="946"/>
      <c r="L162" s="945"/>
      <c r="M162" s="946"/>
    </row>
    <row r="163" spans="2:13">
      <c r="B163" s="944"/>
      <c r="C163" s="945"/>
      <c r="D163" s="945"/>
      <c r="E163" s="946"/>
      <c r="F163" s="945"/>
      <c r="G163" s="946"/>
      <c r="H163" s="945"/>
      <c r="I163" s="946"/>
      <c r="J163" s="945"/>
      <c r="K163" s="946"/>
      <c r="L163" s="945"/>
      <c r="M163" s="946"/>
    </row>
    <row r="164" spans="2:13">
      <c r="B164" s="944"/>
      <c r="C164" s="945"/>
      <c r="D164" s="945"/>
      <c r="E164" s="946"/>
      <c r="F164" s="945"/>
      <c r="G164" s="946"/>
      <c r="H164" s="945"/>
      <c r="I164" s="946"/>
      <c r="J164" s="945"/>
      <c r="K164" s="946"/>
      <c r="L164" s="945"/>
      <c r="M164" s="946"/>
    </row>
    <row r="165" spans="2:13">
      <c r="B165" s="944"/>
      <c r="C165" s="945"/>
      <c r="D165" s="945"/>
      <c r="E165" s="946"/>
      <c r="F165" s="945"/>
      <c r="G165" s="946"/>
      <c r="H165" s="945"/>
      <c r="I165" s="946"/>
      <c r="J165" s="945"/>
      <c r="K165" s="946"/>
      <c r="L165" s="945"/>
      <c r="M165" s="946"/>
    </row>
    <row r="166" spans="2:13">
      <c r="B166" s="944"/>
      <c r="C166" s="945"/>
      <c r="D166" s="945"/>
      <c r="E166" s="946"/>
      <c r="F166" s="945"/>
      <c r="G166" s="946"/>
      <c r="H166" s="945"/>
      <c r="I166" s="946"/>
      <c r="J166" s="945"/>
      <c r="K166" s="946"/>
      <c r="L166" s="945"/>
      <c r="M166" s="946"/>
    </row>
    <row r="167" spans="2:13">
      <c r="B167" s="944"/>
      <c r="C167" s="945"/>
      <c r="D167" s="945"/>
      <c r="E167" s="946"/>
      <c r="F167" s="945"/>
      <c r="G167" s="946"/>
      <c r="H167" s="945"/>
      <c r="I167" s="946"/>
      <c r="J167" s="945"/>
      <c r="K167" s="946"/>
      <c r="L167" s="945"/>
      <c r="M167" s="946"/>
    </row>
    <row r="168" spans="2:13">
      <c r="B168" s="944"/>
      <c r="C168" s="945"/>
      <c r="D168" s="945"/>
      <c r="E168" s="946"/>
      <c r="F168" s="945"/>
      <c r="G168" s="946"/>
      <c r="H168" s="945"/>
      <c r="I168" s="946"/>
      <c r="J168" s="945"/>
      <c r="K168" s="946"/>
      <c r="L168" s="945"/>
      <c r="M168" s="946"/>
    </row>
    <row r="169" spans="2:13">
      <c r="B169" s="944"/>
      <c r="C169" s="945"/>
      <c r="D169" s="945"/>
      <c r="E169" s="946"/>
      <c r="F169" s="945"/>
      <c r="G169" s="946"/>
      <c r="H169" s="945"/>
      <c r="I169" s="946"/>
      <c r="J169" s="945"/>
      <c r="K169" s="946"/>
      <c r="L169" s="945"/>
      <c r="M169" s="946"/>
    </row>
    <row r="170" spans="2:13">
      <c r="B170" s="944"/>
      <c r="C170" s="945"/>
      <c r="D170" s="945"/>
      <c r="E170" s="946"/>
      <c r="F170" s="945"/>
      <c r="G170" s="946"/>
      <c r="H170" s="945"/>
      <c r="I170" s="946"/>
      <c r="J170" s="945"/>
      <c r="K170" s="946"/>
      <c r="L170" s="945"/>
      <c r="M170" s="946"/>
    </row>
    <row r="171" spans="2:13">
      <c r="B171" s="944"/>
      <c r="C171" s="945"/>
      <c r="D171" s="945"/>
      <c r="E171" s="946"/>
      <c r="F171" s="945"/>
      <c r="G171" s="946"/>
      <c r="H171" s="945"/>
      <c r="I171" s="946"/>
      <c r="J171" s="945"/>
      <c r="K171" s="946"/>
      <c r="L171" s="945"/>
      <c r="M171" s="946"/>
    </row>
    <row r="172" spans="2:13">
      <c r="B172" s="944"/>
      <c r="C172" s="945"/>
      <c r="D172" s="945"/>
      <c r="E172" s="946"/>
      <c r="F172" s="945"/>
      <c r="G172" s="946"/>
      <c r="H172" s="945"/>
      <c r="I172" s="946"/>
      <c r="J172" s="945"/>
      <c r="K172" s="946"/>
      <c r="L172" s="945"/>
      <c r="M172" s="946"/>
    </row>
    <row r="173" spans="2:13">
      <c r="B173" s="944"/>
      <c r="C173" s="945"/>
      <c r="D173" s="945"/>
      <c r="E173" s="946"/>
      <c r="F173" s="945"/>
      <c r="G173" s="946"/>
      <c r="H173" s="945"/>
      <c r="I173" s="946"/>
      <c r="J173" s="945"/>
      <c r="K173" s="946"/>
      <c r="L173" s="945"/>
      <c r="M173" s="946"/>
    </row>
    <row r="174" spans="2:13">
      <c r="B174" s="944"/>
      <c r="C174" s="945"/>
      <c r="D174" s="945"/>
      <c r="E174" s="946"/>
      <c r="F174" s="945"/>
      <c r="G174" s="946"/>
      <c r="H174" s="945"/>
      <c r="I174" s="946"/>
      <c r="J174" s="945"/>
      <c r="K174" s="946"/>
      <c r="L174" s="945"/>
      <c r="M174" s="946"/>
    </row>
    <row r="175" spans="2:13">
      <c r="B175" s="944"/>
      <c r="C175" s="945"/>
      <c r="D175" s="945"/>
      <c r="E175" s="946"/>
      <c r="F175" s="945"/>
      <c r="G175" s="946"/>
      <c r="H175" s="945"/>
      <c r="I175" s="946"/>
      <c r="J175" s="945"/>
      <c r="K175" s="946"/>
      <c r="L175" s="945"/>
      <c r="M175" s="946"/>
    </row>
    <row r="176" spans="2:13">
      <c r="B176" s="944"/>
      <c r="C176" s="945"/>
      <c r="D176" s="945"/>
      <c r="E176" s="946"/>
      <c r="F176" s="945"/>
      <c r="G176" s="946"/>
      <c r="H176" s="945"/>
      <c r="I176" s="946"/>
      <c r="J176" s="945"/>
      <c r="K176" s="946"/>
      <c r="L176" s="945"/>
      <c r="M176" s="946"/>
    </row>
    <row r="177" spans="2:16">
      <c r="B177" s="944"/>
      <c r="C177" s="945"/>
      <c r="D177" s="945"/>
      <c r="E177" s="946"/>
      <c r="F177" s="945"/>
      <c r="G177" s="946"/>
      <c r="H177" s="945"/>
      <c r="I177" s="946"/>
      <c r="J177" s="945"/>
      <c r="K177" s="946"/>
      <c r="L177" s="945"/>
      <c r="M177" s="946"/>
    </row>
    <row r="178" spans="2:16">
      <c r="B178" s="944"/>
      <c r="C178" s="945"/>
      <c r="D178" s="945"/>
      <c r="E178" s="946"/>
      <c r="F178" s="945"/>
      <c r="G178" s="946"/>
      <c r="H178" s="945"/>
      <c r="I178" s="946"/>
      <c r="J178" s="945"/>
      <c r="K178" s="946"/>
      <c r="L178" s="945"/>
      <c r="M178" s="946"/>
    </row>
    <row r="179" spans="2:16" ht="15.6">
      <c r="B179" s="3611">
        <f>C1</f>
        <v>0</v>
      </c>
      <c r="C179" s="3612"/>
      <c r="D179" s="3612"/>
      <c r="E179" s="3612"/>
      <c r="F179" s="3612"/>
      <c r="G179" s="3612"/>
      <c r="H179" s="3612"/>
      <c r="I179" s="3612"/>
      <c r="J179" s="3612"/>
      <c r="K179" s="3612"/>
      <c r="L179" s="3612"/>
      <c r="M179" s="3612"/>
      <c r="N179" s="3612"/>
    </row>
    <row r="180" spans="2:16">
      <c r="B180" s="3613">
        <f>C2</f>
        <v>0</v>
      </c>
      <c r="C180" s="3613"/>
      <c r="D180" s="3613"/>
      <c r="E180" s="3613"/>
      <c r="F180" s="3613"/>
      <c r="G180" s="3613"/>
      <c r="H180" s="3613"/>
      <c r="I180" s="3613"/>
      <c r="J180" s="3613"/>
      <c r="K180" s="3613"/>
      <c r="L180" s="3613"/>
      <c r="M180" s="3613"/>
      <c r="N180" s="3613"/>
      <c r="O180" s="3051"/>
      <c r="P180" s="3051"/>
    </row>
    <row r="181" spans="2:16">
      <c r="B181" s="944"/>
      <c r="C181" s="945"/>
      <c r="D181" s="945"/>
      <c r="E181" s="946"/>
      <c r="F181" s="945"/>
      <c r="G181" s="946"/>
      <c r="H181" s="945"/>
      <c r="I181" s="946"/>
      <c r="J181" s="945"/>
      <c r="K181" s="946"/>
      <c r="L181" s="945"/>
      <c r="M181" s="946"/>
      <c r="N181" s="944"/>
      <c r="O181" s="944"/>
      <c r="P181" s="944"/>
    </row>
    <row r="182" spans="2:16">
      <c r="B182" s="944"/>
      <c r="C182" s="945"/>
      <c r="D182" s="945"/>
      <c r="E182" s="946"/>
      <c r="F182" s="945"/>
      <c r="G182" s="946"/>
      <c r="H182" s="945"/>
      <c r="I182" s="946"/>
      <c r="J182" s="945"/>
      <c r="K182" s="946"/>
      <c r="L182" s="945"/>
      <c r="M182" s="946"/>
      <c r="N182" s="944"/>
      <c r="O182" s="944"/>
      <c r="P182" s="944"/>
    </row>
    <row r="183" spans="2:16">
      <c r="B183" s="3607"/>
      <c r="C183" s="3608"/>
      <c r="D183" s="3608"/>
      <c r="E183" s="3608"/>
      <c r="F183" s="3608"/>
      <c r="G183" s="3608"/>
      <c r="H183" s="3608"/>
      <c r="I183" s="3608"/>
      <c r="J183" s="3608"/>
      <c r="K183" s="3608"/>
      <c r="L183" s="3608"/>
      <c r="M183" s="3608"/>
      <c r="N183" s="3608"/>
      <c r="O183" s="3050"/>
      <c r="P183" s="3050"/>
    </row>
    <row r="184" spans="2:16">
      <c r="B184" s="3607"/>
      <c r="C184" s="3608"/>
      <c r="D184" s="3608"/>
      <c r="E184" s="3608"/>
      <c r="F184" s="3608"/>
      <c r="G184" s="3608"/>
      <c r="H184" s="3608"/>
      <c r="I184" s="3608"/>
      <c r="J184" s="3608"/>
      <c r="K184" s="3608"/>
      <c r="L184" s="3608"/>
      <c r="M184" s="3608"/>
      <c r="N184" s="3608"/>
      <c r="O184" s="3050"/>
      <c r="P184" s="3050"/>
    </row>
    <row r="185" spans="2:16">
      <c r="B185" s="951"/>
      <c r="C185" s="955"/>
      <c r="D185" s="955"/>
      <c r="E185" s="946"/>
      <c r="F185" s="945"/>
      <c r="G185" s="946"/>
      <c r="H185" s="945"/>
      <c r="I185" s="946"/>
      <c r="J185" s="945"/>
      <c r="K185" s="946"/>
      <c r="L185" s="945"/>
      <c r="M185" s="946"/>
      <c r="N185" s="944"/>
      <c r="O185" s="944"/>
      <c r="P185" s="944"/>
    </row>
    <row r="186" spans="2:16">
      <c r="B186" s="956"/>
      <c r="C186" s="957"/>
      <c r="D186" s="957"/>
      <c r="E186" s="958"/>
      <c r="F186" s="952"/>
      <c r="G186" s="958"/>
      <c r="H186" s="952"/>
      <c r="I186" s="958"/>
      <c r="J186" s="952"/>
      <c r="K186" s="958"/>
      <c r="L186" s="952"/>
      <c r="M186" s="953"/>
      <c r="N186" s="959"/>
      <c r="O186" s="959"/>
      <c r="P186" s="959"/>
    </row>
    <row r="187" spans="2:16">
      <c r="B187" s="960"/>
      <c r="C187" s="945"/>
      <c r="D187" s="945"/>
      <c r="E187" s="945"/>
      <c r="F187" s="945"/>
      <c r="G187" s="945"/>
      <c r="H187" s="945"/>
      <c r="I187" s="945"/>
      <c r="J187" s="945"/>
      <c r="K187" s="945"/>
      <c r="L187" s="945"/>
      <c r="M187" s="945"/>
      <c r="N187" s="945"/>
      <c r="O187" s="945"/>
      <c r="P187" s="945"/>
    </row>
    <row r="188" spans="2:16">
      <c r="B188" s="961"/>
      <c r="C188" s="954"/>
      <c r="D188" s="954"/>
      <c r="E188" s="954"/>
      <c r="F188" s="954"/>
      <c r="G188" s="954"/>
      <c r="H188" s="954"/>
      <c r="I188" s="954"/>
      <c r="J188" s="954"/>
      <c r="K188" s="954"/>
      <c r="L188" s="954"/>
      <c r="M188" s="954"/>
      <c r="N188" s="962"/>
      <c r="O188" s="962"/>
      <c r="P188" s="962"/>
    </row>
    <row r="189" spans="2:16">
      <c r="B189" s="961"/>
      <c r="C189" s="954"/>
      <c r="D189" s="954"/>
      <c r="E189" s="954"/>
      <c r="F189" s="954"/>
      <c r="G189" s="954"/>
      <c r="H189" s="954"/>
      <c r="I189" s="954"/>
      <c r="J189" s="954"/>
      <c r="K189" s="954"/>
      <c r="L189" s="954"/>
      <c r="M189" s="954"/>
      <c r="N189" s="962"/>
      <c r="O189" s="962"/>
      <c r="P189" s="962"/>
    </row>
    <row r="190" spans="2:16">
      <c r="B190" s="961"/>
      <c r="C190" s="954"/>
      <c r="D190" s="954"/>
      <c r="E190" s="954"/>
      <c r="F190" s="954"/>
      <c r="G190" s="954"/>
      <c r="H190" s="954"/>
      <c r="I190" s="954"/>
      <c r="J190" s="954"/>
      <c r="K190" s="954"/>
      <c r="L190" s="954"/>
      <c r="M190" s="954"/>
      <c r="N190" s="962"/>
      <c r="O190" s="962"/>
      <c r="P190" s="962"/>
    </row>
    <row r="191" spans="2:16">
      <c r="B191" s="961"/>
      <c r="C191" s="954"/>
      <c r="D191" s="954"/>
      <c r="E191" s="954"/>
      <c r="F191" s="954"/>
      <c r="G191" s="954"/>
      <c r="H191" s="954"/>
      <c r="I191" s="954"/>
      <c r="J191" s="954"/>
      <c r="K191" s="954"/>
      <c r="L191" s="954"/>
      <c r="M191" s="954"/>
      <c r="N191" s="962"/>
      <c r="O191" s="962"/>
      <c r="P191" s="962"/>
    </row>
    <row r="192" spans="2:16">
      <c r="B192" s="961"/>
      <c r="C192" s="954"/>
      <c r="D192" s="954"/>
      <c r="E192" s="954"/>
      <c r="F192" s="954"/>
      <c r="G192" s="954"/>
      <c r="H192" s="954"/>
      <c r="I192" s="954"/>
      <c r="J192" s="954"/>
      <c r="K192" s="954"/>
      <c r="L192" s="954"/>
      <c r="M192" s="954"/>
      <c r="N192" s="962"/>
      <c r="O192" s="962"/>
      <c r="P192" s="962"/>
    </row>
    <row r="193" spans="2:16">
      <c r="B193" s="961"/>
      <c r="C193" s="954"/>
      <c r="D193" s="954"/>
      <c r="E193" s="954"/>
      <c r="F193" s="954"/>
      <c r="G193" s="954"/>
      <c r="H193" s="954"/>
      <c r="I193" s="954"/>
      <c r="J193" s="954"/>
      <c r="K193" s="954"/>
      <c r="L193" s="954"/>
      <c r="M193" s="954"/>
      <c r="N193" s="962"/>
      <c r="O193" s="962"/>
      <c r="P193" s="962"/>
    </row>
    <row r="194" spans="2:16">
      <c r="B194" s="961"/>
      <c r="C194" s="954"/>
      <c r="D194" s="954"/>
      <c r="E194" s="954"/>
      <c r="F194" s="954"/>
      <c r="G194" s="954"/>
      <c r="H194" s="954"/>
      <c r="I194" s="954"/>
      <c r="J194" s="954"/>
      <c r="K194" s="954"/>
      <c r="L194" s="954"/>
      <c r="M194" s="954"/>
      <c r="N194" s="962"/>
      <c r="O194" s="962"/>
      <c r="P194" s="962"/>
    </row>
    <row r="195" spans="2:16">
      <c r="B195" s="961"/>
      <c r="C195" s="954"/>
      <c r="D195" s="954"/>
      <c r="E195" s="954"/>
      <c r="F195" s="954"/>
      <c r="G195" s="954"/>
      <c r="H195" s="954"/>
      <c r="I195" s="954"/>
      <c r="J195" s="954"/>
      <c r="K195" s="954"/>
      <c r="L195" s="954"/>
      <c r="M195" s="954"/>
      <c r="N195" s="962"/>
      <c r="O195" s="962"/>
      <c r="P195" s="962"/>
    </row>
    <row r="196" spans="2:16">
      <c r="B196" s="961"/>
      <c r="C196" s="954"/>
      <c r="D196" s="954"/>
      <c r="E196" s="954"/>
      <c r="F196" s="954"/>
      <c r="G196" s="954"/>
      <c r="H196" s="954"/>
      <c r="I196" s="954"/>
      <c r="J196" s="954"/>
      <c r="K196" s="954"/>
      <c r="L196" s="954"/>
      <c r="M196" s="954"/>
      <c r="N196" s="962"/>
      <c r="O196" s="962"/>
      <c r="P196" s="962"/>
    </row>
    <row r="197" spans="2:16">
      <c r="B197" s="961"/>
      <c r="C197" s="954"/>
      <c r="D197" s="954"/>
      <c r="E197" s="954"/>
      <c r="F197" s="954"/>
      <c r="G197" s="954"/>
      <c r="H197" s="954"/>
      <c r="I197" s="954"/>
      <c r="J197" s="954"/>
      <c r="K197" s="954"/>
      <c r="L197" s="954"/>
      <c r="M197" s="954"/>
      <c r="N197" s="962"/>
      <c r="O197" s="962"/>
      <c r="P197" s="962"/>
    </row>
    <row r="198" spans="2:16">
      <c r="B198" s="961"/>
      <c r="C198" s="954"/>
      <c r="D198" s="954"/>
      <c r="E198" s="954"/>
      <c r="F198" s="954"/>
      <c r="G198" s="954"/>
      <c r="H198" s="954"/>
      <c r="I198" s="954"/>
      <c r="J198" s="954"/>
      <c r="K198" s="954"/>
      <c r="L198" s="954"/>
      <c r="M198" s="954"/>
      <c r="N198" s="962"/>
      <c r="O198" s="962"/>
      <c r="P198" s="962"/>
    </row>
    <row r="199" spans="2:16">
      <c r="B199" s="961"/>
      <c r="C199" s="954"/>
      <c r="D199" s="954"/>
      <c r="E199" s="954"/>
      <c r="F199" s="954"/>
      <c r="G199" s="954"/>
      <c r="H199" s="954"/>
      <c r="I199" s="954"/>
      <c r="J199" s="954"/>
      <c r="K199" s="954"/>
      <c r="L199" s="954"/>
      <c r="M199" s="954"/>
      <c r="N199" s="962"/>
      <c r="O199" s="962"/>
      <c r="P199" s="962"/>
    </row>
    <row r="200" spans="2:16" ht="15.6">
      <c r="B200" s="967">
        <f t="shared" ref="B200:P200" si="4">B1</f>
        <v>0</v>
      </c>
      <c r="C200" s="954">
        <f t="shared" si="4"/>
        <v>0</v>
      </c>
      <c r="D200" s="3537" t="str">
        <f t="shared" si="4"/>
        <v>עירית הרצליה</v>
      </c>
      <c r="E200" s="3537">
        <f t="shared" si="4"/>
        <v>0</v>
      </c>
      <c r="F200" s="3537">
        <f t="shared" si="4"/>
        <v>0</v>
      </c>
      <c r="G200" s="3537">
        <f t="shared" si="4"/>
        <v>0</v>
      </c>
      <c r="H200" s="3537">
        <f t="shared" si="4"/>
        <v>0</v>
      </c>
      <c r="I200" s="3537">
        <f t="shared" si="4"/>
        <v>0</v>
      </c>
      <c r="J200" s="3537">
        <f t="shared" si="4"/>
        <v>0</v>
      </c>
      <c r="K200" s="954">
        <f t="shared" si="4"/>
        <v>0</v>
      </c>
      <c r="L200" s="954">
        <f t="shared" si="4"/>
        <v>0</v>
      </c>
      <c r="M200" s="954">
        <f t="shared" si="4"/>
        <v>0</v>
      </c>
      <c r="N200" s="962">
        <f t="shared" si="4"/>
        <v>0</v>
      </c>
      <c r="O200" s="962">
        <f t="shared" si="4"/>
        <v>0</v>
      </c>
      <c r="P200" s="962">
        <f t="shared" si="4"/>
        <v>0</v>
      </c>
    </row>
    <row r="201" spans="2:16" ht="15.6">
      <c r="B201" s="967">
        <f t="shared" ref="B201:P201" si="5">B2</f>
        <v>0</v>
      </c>
      <c r="C201" s="954">
        <f t="shared" si="5"/>
        <v>0</v>
      </c>
      <c r="D201" s="3537" t="str">
        <f t="shared" si="5"/>
        <v>הדוח הכספי לשנת 2015 - דוח השכר לפי פרקי התקציב</v>
      </c>
      <c r="E201" s="3537">
        <f t="shared" si="5"/>
        <v>0</v>
      </c>
      <c r="F201" s="3537">
        <f t="shared" si="5"/>
        <v>0</v>
      </c>
      <c r="G201" s="3537">
        <f t="shared" si="5"/>
        <v>0</v>
      </c>
      <c r="H201" s="3537">
        <f t="shared" si="5"/>
        <v>0</v>
      </c>
      <c r="I201" s="3537">
        <f t="shared" si="5"/>
        <v>0</v>
      </c>
      <c r="J201" s="3537">
        <f t="shared" si="5"/>
        <v>0</v>
      </c>
      <c r="K201" s="954">
        <f t="shared" si="5"/>
        <v>0</v>
      </c>
      <c r="L201" s="954">
        <f t="shared" si="5"/>
        <v>0</v>
      </c>
      <c r="M201" s="954">
        <f t="shared" si="5"/>
        <v>0</v>
      </c>
      <c r="N201" s="962">
        <f t="shared" si="5"/>
        <v>0</v>
      </c>
      <c r="O201" s="962">
        <f t="shared" si="5"/>
        <v>0</v>
      </c>
      <c r="P201" s="962">
        <f t="shared" si="5"/>
        <v>0</v>
      </c>
    </row>
    <row r="202" spans="2:16" ht="7.5" hidden="1" customHeight="1">
      <c r="B202" s="967">
        <f t="shared" ref="B202:P202" si="6">B3</f>
        <v>0</v>
      </c>
      <c r="C202" s="954">
        <f t="shared" si="6"/>
        <v>0</v>
      </c>
      <c r="D202" s="954">
        <f t="shared" si="6"/>
        <v>0</v>
      </c>
      <c r="E202" s="954">
        <f t="shared" si="6"/>
        <v>0</v>
      </c>
      <c r="F202" s="954">
        <f t="shared" si="6"/>
        <v>0</v>
      </c>
      <c r="G202" s="954">
        <f t="shared" si="6"/>
        <v>0</v>
      </c>
      <c r="H202" s="954">
        <f t="shared" si="6"/>
        <v>0</v>
      </c>
      <c r="I202" s="954">
        <f t="shared" si="6"/>
        <v>0</v>
      </c>
      <c r="J202" s="954">
        <f t="shared" si="6"/>
        <v>0</v>
      </c>
      <c r="K202" s="954">
        <f t="shared" si="6"/>
        <v>0</v>
      </c>
      <c r="L202" s="954">
        <f t="shared" si="6"/>
        <v>0</v>
      </c>
      <c r="M202" s="954">
        <f t="shared" si="6"/>
        <v>0</v>
      </c>
      <c r="N202" s="962">
        <f t="shared" si="6"/>
        <v>0</v>
      </c>
      <c r="O202" s="962">
        <f t="shared" si="6"/>
        <v>0</v>
      </c>
      <c r="P202" s="962">
        <f t="shared" si="6"/>
        <v>0</v>
      </c>
    </row>
    <row r="203" spans="2:16" ht="2.25" customHeight="1">
      <c r="B203" s="967">
        <f t="shared" ref="B203:P203" si="7">B4</f>
        <v>0</v>
      </c>
      <c r="C203" s="954">
        <f t="shared" si="7"/>
        <v>0</v>
      </c>
      <c r="D203" s="954">
        <f t="shared" si="7"/>
        <v>0</v>
      </c>
      <c r="E203" s="954">
        <f t="shared" si="7"/>
        <v>0</v>
      </c>
      <c r="F203" s="954">
        <f t="shared" si="7"/>
        <v>0</v>
      </c>
      <c r="G203" s="954">
        <f t="shared" si="7"/>
        <v>0</v>
      </c>
      <c r="H203" s="954">
        <f t="shared" si="7"/>
        <v>0</v>
      </c>
      <c r="I203" s="954">
        <f t="shared" si="7"/>
        <v>0</v>
      </c>
      <c r="J203" s="954">
        <f t="shared" si="7"/>
        <v>0</v>
      </c>
      <c r="K203" s="954">
        <f t="shared" si="7"/>
        <v>0</v>
      </c>
      <c r="L203" s="954">
        <f t="shared" si="7"/>
        <v>0</v>
      </c>
      <c r="M203" s="954">
        <f t="shared" si="7"/>
        <v>0</v>
      </c>
      <c r="N203" s="962">
        <f t="shared" si="7"/>
        <v>0</v>
      </c>
      <c r="O203" s="962">
        <f t="shared" si="7"/>
        <v>0</v>
      </c>
      <c r="P203" s="962">
        <f t="shared" si="7"/>
        <v>0</v>
      </c>
    </row>
    <row r="204" spans="2:16" ht="7.5" customHeight="1">
      <c r="B204" s="967">
        <f t="shared" ref="B204:P204" si="8">B5</f>
        <v>0</v>
      </c>
      <c r="C204" s="954">
        <f t="shared" si="8"/>
        <v>0</v>
      </c>
      <c r="D204" s="954">
        <f t="shared" si="8"/>
        <v>0</v>
      </c>
      <c r="E204" s="954">
        <f t="shared" si="8"/>
        <v>0</v>
      </c>
      <c r="F204" s="954">
        <f t="shared" si="8"/>
        <v>0</v>
      </c>
      <c r="G204" s="954">
        <f t="shared" si="8"/>
        <v>0</v>
      </c>
      <c r="H204" s="954">
        <f t="shared" si="8"/>
        <v>0</v>
      </c>
      <c r="I204" s="954">
        <f t="shared" si="8"/>
        <v>0</v>
      </c>
      <c r="J204" s="954">
        <f t="shared" si="8"/>
        <v>0</v>
      </c>
      <c r="K204" s="954">
        <f t="shared" si="8"/>
        <v>0</v>
      </c>
      <c r="L204" s="954">
        <f t="shared" si="8"/>
        <v>0</v>
      </c>
      <c r="M204" s="954">
        <f t="shared" si="8"/>
        <v>0</v>
      </c>
      <c r="N204" s="962">
        <f t="shared" si="8"/>
        <v>0</v>
      </c>
      <c r="O204" s="962">
        <f t="shared" si="8"/>
        <v>0</v>
      </c>
      <c r="P204" s="962">
        <f t="shared" si="8"/>
        <v>0</v>
      </c>
    </row>
    <row r="205" spans="2:16">
      <c r="B205" s="967">
        <f t="shared" ref="B205:P205" si="9">B6</f>
        <v>0</v>
      </c>
      <c r="C205" s="954">
        <f t="shared" si="9"/>
        <v>0</v>
      </c>
      <c r="D205" s="3603" t="str">
        <f t="shared" si="9"/>
        <v>תקציב 2015</v>
      </c>
      <c r="E205" s="3603"/>
      <c r="F205" s="3603"/>
      <c r="G205" s="954">
        <f t="shared" si="9"/>
        <v>0</v>
      </c>
      <c r="H205" s="3603" t="str">
        <f t="shared" si="9"/>
        <v>ביצוע 2015</v>
      </c>
      <c r="I205" s="3603"/>
      <c r="J205" s="3603"/>
      <c r="K205" s="954">
        <f t="shared" si="9"/>
        <v>0</v>
      </c>
      <c r="L205" s="3603" t="str">
        <f t="shared" si="9"/>
        <v>הפרש</v>
      </c>
      <c r="M205" s="3603"/>
      <c r="N205" s="3603"/>
      <c r="O205" s="962">
        <f t="shared" si="9"/>
        <v>0</v>
      </c>
      <c r="P205" s="962">
        <f t="shared" si="9"/>
        <v>0</v>
      </c>
    </row>
    <row r="206" spans="2:16">
      <c r="B206" s="967">
        <f t="shared" ref="B206:P206" si="10">B7</f>
        <v>0</v>
      </c>
      <c r="C206" s="954">
        <f t="shared" si="10"/>
        <v>0</v>
      </c>
      <c r="D206" s="965" t="str">
        <f t="shared" si="10"/>
        <v>מספר משרות</v>
      </c>
      <c r="E206" s="965">
        <f t="shared" si="10"/>
        <v>0</v>
      </c>
      <c r="F206" s="965" t="str">
        <f t="shared" si="10"/>
        <v>עלויות שכר</v>
      </c>
      <c r="G206" s="954">
        <f t="shared" si="10"/>
        <v>0</v>
      </c>
      <c r="H206" s="965" t="str">
        <f t="shared" si="10"/>
        <v>מס' משרות 66</v>
      </c>
      <c r="I206" s="965">
        <f t="shared" si="10"/>
        <v>0</v>
      </c>
      <c r="J206" s="965" t="str">
        <f t="shared" si="10"/>
        <v>עלויות שכר 66</v>
      </c>
      <c r="K206" s="954">
        <f t="shared" si="10"/>
        <v>0</v>
      </c>
      <c r="L206" s="965" t="str">
        <f t="shared" si="10"/>
        <v>מספר משרות</v>
      </c>
      <c r="M206" s="965">
        <f t="shared" si="10"/>
        <v>0</v>
      </c>
      <c r="N206" s="3080" t="str">
        <f t="shared" si="10"/>
        <v>עלויות שכר</v>
      </c>
      <c r="O206" s="962">
        <f t="shared" si="10"/>
        <v>0</v>
      </c>
      <c r="P206" s="962">
        <f t="shared" si="10"/>
        <v>0</v>
      </c>
    </row>
    <row r="207" spans="2:16">
      <c r="B207" s="967">
        <f t="shared" ref="B207:P207" si="11">B8</f>
        <v>0</v>
      </c>
      <c r="C207" s="954">
        <f t="shared" si="11"/>
        <v>0</v>
      </c>
      <c r="D207" s="954">
        <f t="shared" si="11"/>
        <v>0</v>
      </c>
      <c r="E207" s="954">
        <f t="shared" si="11"/>
        <v>0</v>
      </c>
      <c r="F207" s="954">
        <f t="shared" si="11"/>
        <v>0</v>
      </c>
      <c r="G207" s="954">
        <f t="shared" si="11"/>
        <v>0</v>
      </c>
      <c r="H207" s="954">
        <f t="shared" si="11"/>
        <v>0</v>
      </c>
      <c r="I207" s="954">
        <f t="shared" si="11"/>
        <v>0</v>
      </c>
      <c r="J207" s="954">
        <f t="shared" si="11"/>
        <v>0</v>
      </c>
      <c r="K207" s="954">
        <f t="shared" si="11"/>
        <v>0</v>
      </c>
      <c r="L207" s="954">
        <f t="shared" si="11"/>
        <v>0</v>
      </c>
      <c r="M207" s="954">
        <f t="shared" si="11"/>
        <v>0</v>
      </c>
      <c r="N207" s="962">
        <f t="shared" si="11"/>
        <v>0</v>
      </c>
      <c r="O207" s="962">
        <f t="shared" si="11"/>
        <v>0</v>
      </c>
      <c r="P207" s="962">
        <f t="shared" si="11"/>
        <v>0</v>
      </c>
    </row>
    <row r="208" spans="2:16">
      <c r="B208" s="3078">
        <f t="shared" ref="B208:P208" si="12">B9</f>
        <v>6</v>
      </c>
      <c r="C208" s="965" t="str">
        <f t="shared" si="12"/>
        <v>הנהלה וכלליות</v>
      </c>
      <c r="D208" s="954">
        <f t="shared" si="12"/>
        <v>0</v>
      </c>
      <c r="E208" s="954">
        <f t="shared" si="12"/>
        <v>0</v>
      </c>
      <c r="F208" s="954">
        <f t="shared" si="12"/>
        <v>0</v>
      </c>
      <c r="G208" s="954">
        <f t="shared" si="12"/>
        <v>0</v>
      </c>
      <c r="H208" s="954">
        <f t="shared" si="12"/>
        <v>0</v>
      </c>
      <c r="I208" s="954">
        <f t="shared" si="12"/>
        <v>0</v>
      </c>
      <c r="J208" s="954">
        <f t="shared" si="12"/>
        <v>0</v>
      </c>
      <c r="K208" s="954">
        <f t="shared" si="12"/>
        <v>0</v>
      </c>
      <c r="L208" s="954">
        <f t="shared" si="12"/>
        <v>0</v>
      </c>
      <c r="M208" s="954">
        <f t="shared" si="12"/>
        <v>0</v>
      </c>
      <c r="N208" s="962">
        <f t="shared" si="12"/>
        <v>0</v>
      </c>
      <c r="O208" s="962">
        <f t="shared" si="12"/>
        <v>0</v>
      </c>
      <c r="P208" s="962">
        <f t="shared" si="12"/>
        <v>0</v>
      </c>
    </row>
    <row r="209" spans="2:16">
      <c r="B209" s="967">
        <f t="shared" ref="B209:C212" si="13">IF(OR($D209&lt;&gt;0,$F209&lt;&gt;0,$H209&lt;&gt;0,$J209&lt;&gt;0,$L209&lt;&gt;0,$N209&lt;&gt;0),B10,0)</f>
        <v>61</v>
      </c>
      <c r="C209" s="954" t="str">
        <f t="shared" si="13"/>
        <v>נבחרים</v>
      </c>
      <c r="D209" s="954">
        <f t="shared" ref="D209:P209" si="14">D10</f>
        <v>3</v>
      </c>
      <c r="E209" s="954">
        <f t="shared" si="14"/>
        <v>0</v>
      </c>
      <c r="F209" s="954">
        <f t="shared" si="14"/>
        <v>2150</v>
      </c>
      <c r="G209" s="954">
        <f t="shared" si="14"/>
        <v>0</v>
      </c>
      <c r="H209" s="954">
        <f t="shared" si="14"/>
        <v>3</v>
      </c>
      <c r="I209" s="954">
        <f t="shared" si="14"/>
        <v>0</v>
      </c>
      <c r="J209" s="954">
        <f t="shared" si="14"/>
        <v>2045</v>
      </c>
      <c r="K209" s="954">
        <f t="shared" si="14"/>
        <v>0</v>
      </c>
      <c r="L209" s="954">
        <f t="shared" si="14"/>
        <v>0</v>
      </c>
      <c r="M209" s="954">
        <f t="shared" si="14"/>
        <v>0</v>
      </c>
      <c r="N209" s="954">
        <f t="shared" si="14"/>
        <v>105</v>
      </c>
      <c r="O209" s="962">
        <f t="shared" si="14"/>
        <v>0</v>
      </c>
      <c r="P209" s="962">
        <f t="shared" si="14"/>
        <v>0</v>
      </c>
    </row>
    <row r="210" spans="2:16">
      <c r="B210" s="967">
        <f t="shared" si="13"/>
        <v>61</v>
      </c>
      <c r="C210" s="954" t="str">
        <f t="shared" si="13"/>
        <v>מנהל כללי</v>
      </c>
      <c r="D210" s="954">
        <f t="shared" ref="D210:P210" si="15">D11</f>
        <v>73</v>
      </c>
      <c r="E210" s="954">
        <f t="shared" si="15"/>
        <v>0</v>
      </c>
      <c r="F210" s="954">
        <f t="shared" si="15"/>
        <v>15141</v>
      </c>
      <c r="G210" s="954">
        <f t="shared" si="15"/>
        <v>0</v>
      </c>
      <c r="H210" s="954">
        <f t="shared" si="15"/>
        <v>70.41</v>
      </c>
      <c r="I210" s="954">
        <f t="shared" si="15"/>
        <v>0</v>
      </c>
      <c r="J210" s="954">
        <f t="shared" si="15"/>
        <v>15136</v>
      </c>
      <c r="K210" s="954">
        <f t="shared" si="15"/>
        <v>0</v>
      </c>
      <c r="L210" s="954">
        <f t="shared" si="15"/>
        <v>2.5900000000000034</v>
      </c>
      <c r="M210" s="954">
        <f t="shared" si="15"/>
        <v>0</v>
      </c>
      <c r="N210" s="954">
        <f t="shared" si="15"/>
        <v>5</v>
      </c>
      <c r="O210" s="962">
        <f t="shared" si="15"/>
        <v>0</v>
      </c>
      <c r="P210" s="962">
        <f t="shared" si="15"/>
        <v>0</v>
      </c>
    </row>
    <row r="211" spans="2:16">
      <c r="B211" s="954">
        <f t="shared" si="13"/>
        <v>62</v>
      </c>
      <c r="C211" s="954" t="str">
        <f t="shared" si="13"/>
        <v>מנהל כספי</v>
      </c>
      <c r="D211" s="954">
        <f t="shared" ref="D211:P211" si="16">D12</f>
        <v>71</v>
      </c>
      <c r="E211" s="954">
        <f t="shared" si="16"/>
        <v>0</v>
      </c>
      <c r="F211" s="954">
        <f t="shared" si="16"/>
        <v>12080</v>
      </c>
      <c r="G211" s="954">
        <f t="shared" si="16"/>
        <v>0</v>
      </c>
      <c r="H211" s="954">
        <f t="shared" si="16"/>
        <v>68.739999999999995</v>
      </c>
      <c r="I211" s="954">
        <f t="shared" si="16"/>
        <v>0</v>
      </c>
      <c r="J211" s="954">
        <f t="shared" si="16"/>
        <v>11080</v>
      </c>
      <c r="K211" s="954">
        <f t="shared" si="16"/>
        <v>0</v>
      </c>
      <c r="L211" s="954">
        <f t="shared" si="16"/>
        <v>2.2600000000000051</v>
      </c>
      <c r="M211" s="954">
        <f t="shared" si="16"/>
        <v>0</v>
      </c>
      <c r="N211" s="954">
        <f t="shared" si="16"/>
        <v>1000</v>
      </c>
      <c r="O211" s="3073">
        <f t="shared" si="16"/>
        <v>0</v>
      </c>
      <c r="P211" s="3073">
        <f t="shared" si="16"/>
        <v>0</v>
      </c>
    </row>
    <row r="212" spans="2:16">
      <c r="B212" s="954">
        <f t="shared" si="13"/>
        <v>0</v>
      </c>
      <c r="C212" s="954" t="str">
        <f t="shared" si="13"/>
        <v>סה"כ הנהלה וכלליות</v>
      </c>
      <c r="D212" s="1701">
        <f t="shared" ref="D212:P212" si="17">D13</f>
        <v>147</v>
      </c>
      <c r="E212" s="954">
        <f t="shared" si="17"/>
        <v>0</v>
      </c>
      <c r="F212" s="1701">
        <f t="shared" si="17"/>
        <v>29371</v>
      </c>
      <c r="G212" s="954">
        <f t="shared" si="17"/>
        <v>0</v>
      </c>
      <c r="H212" s="1701">
        <f t="shared" si="17"/>
        <v>142.14999999999998</v>
      </c>
      <c r="I212" s="954">
        <f t="shared" si="17"/>
        <v>0</v>
      </c>
      <c r="J212" s="1701">
        <f t="shared" si="17"/>
        <v>28261</v>
      </c>
      <c r="K212" s="954">
        <f t="shared" si="17"/>
        <v>0</v>
      </c>
      <c r="L212" s="1701">
        <f t="shared" si="17"/>
        <v>4.8500000000000227</v>
      </c>
      <c r="M212" s="954">
        <f t="shared" si="17"/>
        <v>0</v>
      </c>
      <c r="N212" s="1701">
        <f t="shared" si="17"/>
        <v>1110</v>
      </c>
      <c r="O212" s="963">
        <f t="shared" si="17"/>
        <v>0</v>
      </c>
      <c r="P212" s="963">
        <f t="shared" si="17"/>
        <v>0</v>
      </c>
    </row>
    <row r="213" spans="2:16">
      <c r="B213" s="3078">
        <f t="shared" ref="B213:P213" si="18">B14</f>
        <v>7</v>
      </c>
      <c r="C213" s="965" t="str">
        <f t="shared" si="18"/>
        <v>שירותים מקומיים</v>
      </c>
      <c r="D213" s="964">
        <f t="shared" si="18"/>
        <v>0</v>
      </c>
      <c r="E213" s="964">
        <f t="shared" si="18"/>
        <v>0</v>
      </c>
      <c r="F213" s="964">
        <f t="shared" si="18"/>
        <v>0</v>
      </c>
      <c r="G213" s="964">
        <f t="shared" si="18"/>
        <v>0</v>
      </c>
      <c r="H213" s="964">
        <f t="shared" si="18"/>
        <v>0</v>
      </c>
      <c r="I213" s="964">
        <f t="shared" si="18"/>
        <v>0</v>
      </c>
      <c r="J213" s="964">
        <f t="shared" si="18"/>
        <v>0</v>
      </c>
      <c r="K213" s="964">
        <f t="shared" si="18"/>
        <v>0</v>
      </c>
      <c r="L213" s="964">
        <f t="shared" si="18"/>
        <v>0</v>
      </c>
      <c r="M213" s="964">
        <f t="shared" si="18"/>
        <v>0</v>
      </c>
      <c r="N213" s="954">
        <f t="shared" si="18"/>
        <v>0</v>
      </c>
      <c r="O213" s="965">
        <f t="shared" si="18"/>
        <v>0</v>
      </c>
      <c r="P213" s="965">
        <f t="shared" si="18"/>
        <v>0</v>
      </c>
    </row>
    <row r="214" spans="2:16">
      <c r="B214" s="967">
        <f t="shared" ref="B214:P214" si="19">B15</f>
        <v>71</v>
      </c>
      <c r="C214" s="964" t="str">
        <f t="shared" si="19"/>
        <v>תברואה</v>
      </c>
      <c r="D214" s="964">
        <f t="shared" si="19"/>
        <v>37</v>
      </c>
      <c r="E214" s="964">
        <f t="shared" si="19"/>
        <v>0</v>
      </c>
      <c r="F214" s="964">
        <f t="shared" si="19"/>
        <v>7825</v>
      </c>
      <c r="G214" s="964">
        <f t="shared" si="19"/>
        <v>0</v>
      </c>
      <c r="H214" s="964">
        <f t="shared" si="19"/>
        <v>37.700000000000003</v>
      </c>
      <c r="I214" s="964">
        <f t="shared" si="19"/>
        <v>0</v>
      </c>
      <c r="J214" s="964">
        <f t="shared" si="19"/>
        <v>7471</v>
      </c>
      <c r="K214" s="964">
        <f t="shared" si="19"/>
        <v>0</v>
      </c>
      <c r="L214" s="964">
        <f t="shared" si="19"/>
        <v>-0.70000000000000284</v>
      </c>
      <c r="M214" s="964">
        <f t="shared" si="19"/>
        <v>0</v>
      </c>
      <c r="N214" s="954">
        <f t="shared" si="19"/>
        <v>354</v>
      </c>
      <c r="O214" s="965">
        <f t="shared" si="19"/>
        <v>0</v>
      </c>
      <c r="P214" s="965">
        <f t="shared" si="19"/>
        <v>0</v>
      </c>
    </row>
    <row r="215" spans="2:16">
      <c r="B215" s="964">
        <f t="shared" ref="B215:C221" si="20">IF(OR($D215&lt;&gt;0,$F215&lt;&gt;0,$H215&lt;&gt;0,$J215&lt;&gt;0,$L215&lt;&gt;0,$N215&lt;&gt;0),B16,0)</f>
        <v>72</v>
      </c>
      <c r="C215" s="964" t="str">
        <f t="shared" si="20"/>
        <v>שמירה ובטחון</v>
      </c>
      <c r="D215" s="964">
        <f t="shared" ref="D215:P215" si="21">D16</f>
        <v>37</v>
      </c>
      <c r="E215" s="964">
        <f t="shared" si="21"/>
        <v>0</v>
      </c>
      <c r="F215" s="964">
        <f t="shared" si="21"/>
        <v>6097</v>
      </c>
      <c r="G215" s="964">
        <f t="shared" si="21"/>
        <v>0</v>
      </c>
      <c r="H215" s="964">
        <f t="shared" si="21"/>
        <v>36.869999999999997</v>
      </c>
      <c r="I215" s="964">
        <f t="shared" si="21"/>
        <v>0</v>
      </c>
      <c r="J215" s="964">
        <f t="shared" si="21"/>
        <v>5455</v>
      </c>
      <c r="K215" s="964">
        <f t="shared" si="21"/>
        <v>0</v>
      </c>
      <c r="L215" s="964">
        <f t="shared" si="21"/>
        <v>0.13000000000000256</v>
      </c>
      <c r="M215" s="964">
        <f t="shared" si="21"/>
        <v>0</v>
      </c>
      <c r="N215" s="954">
        <f t="shared" si="21"/>
        <v>642</v>
      </c>
      <c r="O215" s="964">
        <f t="shared" si="21"/>
        <v>0</v>
      </c>
      <c r="P215" s="964">
        <f t="shared" si="21"/>
        <v>0</v>
      </c>
    </row>
    <row r="216" spans="2:16">
      <c r="B216" s="967">
        <f t="shared" si="20"/>
        <v>73</v>
      </c>
      <c r="C216" s="964" t="str">
        <f t="shared" si="20"/>
        <v>תכנון ובנין עיר</v>
      </c>
      <c r="D216" s="964">
        <f t="shared" ref="D216:P216" si="22">D17</f>
        <v>55</v>
      </c>
      <c r="E216" s="964">
        <f t="shared" si="22"/>
        <v>0</v>
      </c>
      <c r="F216" s="964">
        <f t="shared" si="22"/>
        <v>10343</v>
      </c>
      <c r="G216" s="964">
        <f t="shared" si="22"/>
        <v>0</v>
      </c>
      <c r="H216" s="964">
        <f t="shared" si="22"/>
        <v>48.89</v>
      </c>
      <c r="I216" s="964">
        <f t="shared" si="22"/>
        <v>0</v>
      </c>
      <c r="J216" s="964">
        <f t="shared" si="22"/>
        <v>9508</v>
      </c>
      <c r="K216" s="964">
        <f t="shared" si="22"/>
        <v>0</v>
      </c>
      <c r="L216" s="964">
        <f t="shared" si="22"/>
        <v>6.1099999999999994</v>
      </c>
      <c r="M216" s="964">
        <f t="shared" si="22"/>
        <v>0</v>
      </c>
      <c r="N216" s="954">
        <f t="shared" si="22"/>
        <v>835</v>
      </c>
      <c r="O216" s="966">
        <f t="shared" si="22"/>
        <v>0</v>
      </c>
      <c r="P216" s="966">
        <f t="shared" si="22"/>
        <v>0</v>
      </c>
    </row>
    <row r="217" spans="2:16">
      <c r="B217" s="967">
        <f t="shared" si="20"/>
        <v>74</v>
      </c>
      <c r="C217" s="964" t="str">
        <f t="shared" si="20"/>
        <v>נכסים ציבוריים</v>
      </c>
      <c r="D217" s="964">
        <f t="shared" ref="D217:P217" si="23">D18</f>
        <v>59</v>
      </c>
      <c r="E217" s="964">
        <f t="shared" si="23"/>
        <v>0</v>
      </c>
      <c r="F217" s="964">
        <f t="shared" si="23"/>
        <v>16035</v>
      </c>
      <c r="G217" s="964">
        <f t="shared" si="23"/>
        <v>0</v>
      </c>
      <c r="H217" s="964">
        <f t="shared" si="23"/>
        <v>59.14</v>
      </c>
      <c r="I217" s="964">
        <f t="shared" si="23"/>
        <v>0</v>
      </c>
      <c r="J217" s="964">
        <f t="shared" si="23"/>
        <v>15259</v>
      </c>
      <c r="K217" s="964">
        <f t="shared" si="23"/>
        <v>0</v>
      </c>
      <c r="L217" s="964">
        <f t="shared" si="23"/>
        <v>-0.14000000000000057</v>
      </c>
      <c r="M217" s="964">
        <f t="shared" si="23"/>
        <v>0</v>
      </c>
      <c r="N217" s="954">
        <f t="shared" si="23"/>
        <v>776</v>
      </c>
      <c r="O217" s="966">
        <f t="shared" si="23"/>
        <v>0</v>
      </c>
      <c r="P217" s="966">
        <f t="shared" si="23"/>
        <v>0</v>
      </c>
    </row>
    <row r="218" spans="2:16">
      <c r="B218" s="967">
        <f t="shared" si="20"/>
        <v>76</v>
      </c>
      <c r="C218" s="964" t="str">
        <f t="shared" si="20"/>
        <v>שרותים עירוניים שונים</v>
      </c>
      <c r="D218" s="964">
        <f t="shared" ref="D218:P218" si="24">D19</f>
        <v>22</v>
      </c>
      <c r="E218" s="964">
        <f t="shared" si="24"/>
        <v>0</v>
      </c>
      <c r="F218" s="964">
        <f t="shared" si="24"/>
        <v>3438</v>
      </c>
      <c r="G218" s="964">
        <f t="shared" si="24"/>
        <v>0</v>
      </c>
      <c r="H218" s="964">
        <f t="shared" si="24"/>
        <v>21.94</v>
      </c>
      <c r="I218" s="964">
        <f t="shared" si="24"/>
        <v>0</v>
      </c>
      <c r="J218" s="964">
        <f t="shared" si="24"/>
        <v>3231</v>
      </c>
      <c r="K218" s="964">
        <f t="shared" si="24"/>
        <v>0</v>
      </c>
      <c r="L218" s="964">
        <f t="shared" si="24"/>
        <v>5.9999999999998721E-2</v>
      </c>
      <c r="M218" s="964">
        <f t="shared" si="24"/>
        <v>0</v>
      </c>
      <c r="N218" s="954">
        <f t="shared" si="24"/>
        <v>207</v>
      </c>
      <c r="O218" s="966">
        <f t="shared" si="24"/>
        <v>0</v>
      </c>
      <c r="P218" s="966">
        <f t="shared" si="24"/>
        <v>0</v>
      </c>
    </row>
    <row r="219" spans="2:16">
      <c r="B219" s="967">
        <f t="shared" si="20"/>
        <v>78</v>
      </c>
      <c r="C219" s="964" t="str">
        <f t="shared" si="20"/>
        <v>פיקוח עירוני</v>
      </c>
      <c r="D219" s="964">
        <f t="shared" ref="D219:P219" si="25">D20</f>
        <v>42</v>
      </c>
      <c r="E219" s="964">
        <f t="shared" si="25"/>
        <v>0</v>
      </c>
      <c r="F219" s="964">
        <f t="shared" si="25"/>
        <v>7550</v>
      </c>
      <c r="G219" s="964">
        <f t="shared" si="25"/>
        <v>0</v>
      </c>
      <c r="H219" s="964">
        <f t="shared" si="25"/>
        <v>41.32</v>
      </c>
      <c r="I219" s="964">
        <f t="shared" si="25"/>
        <v>0</v>
      </c>
      <c r="J219" s="964">
        <f t="shared" si="25"/>
        <v>6477</v>
      </c>
      <c r="K219" s="964">
        <f t="shared" si="25"/>
        <v>0</v>
      </c>
      <c r="L219" s="964">
        <f t="shared" si="25"/>
        <v>0.67999999999999972</v>
      </c>
      <c r="M219" s="964">
        <f t="shared" si="25"/>
        <v>0</v>
      </c>
      <c r="N219" s="954">
        <f t="shared" si="25"/>
        <v>1073</v>
      </c>
      <c r="O219" s="966">
        <f t="shared" si="25"/>
        <v>0</v>
      </c>
      <c r="P219" s="966">
        <f t="shared" si="25"/>
        <v>0</v>
      </c>
    </row>
    <row r="220" spans="2:16">
      <c r="B220" s="967">
        <f t="shared" si="20"/>
        <v>0</v>
      </c>
      <c r="C220" s="964">
        <f t="shared" si="20"/>
        <v>0</v>
      </c>
      <c r="D220" s="964">
        <f t="shared" ref="D220:P220" si="26">D21</f>
        <v>0</v>
      </c>
      <c r="E220" s="964">
        <f t="shared" si="26"/>
        <v>0</v>
      </c>
      <c r="F220" s="964">
        <f t="shared" si="26"/>
        <v>0</v>
      </c>
      <c r="G220" s="964">
        <f t="shared" si="26"/>
        <v>0</v>
      </c>
      <c r="H220" s="964">
        <f t="shared" si="26"/>
        <v>0</v>
      </c>
      <c r="I220" s="964">
        <f t="shared" si="26"/>
        <v>0</v>
      </c>
      <c r="J220" s="964">
        <f t="shared" si="26"/>
        <v>0</v>
      </c>
      <c r="K220" s="964">
        <f t="shared" si="26"/>
        <v>0</v>
      </c>
      <c r="L220" s="964">
        <f t="shared" si="26"/>
        <v>0</v>
      </c>
      <c r="M220" s="964">
        <f t="shared" si="26"/>
        <v>0</v>
      </c>
      <c r="N220" s="954">
        <f t="shared" si="26"/>
        <v>0</v>
      </c>
      <c r="O220" s="966">
        <f t="shared" si="26"/>
        <v>0</v>
      </c>
      <c r="P220" s="966">
        <f t="shared" si="26"/>
        <v>0</v>
      </c>
    </row>
    <row r="221" spans="2:16">
      <c r="B221" s="967">
        <f t="shared" si="20"/>
        <v>0</v>
      </c>
      <c r="C221" s="964" t="str">
        <f t="shared" si="20"/>
        <v>סה"כ שרותים מקומיים</v>
      </c>
      <c r="D221" s="1701">
        <f t="shared" ref="D221:P221" si="27">D22</f>
        <v>252</v>
      </c>
      <c r="E221" s="964">
        <f t="shared" si="27"/>
        <v>0</v>
      </c>
      <c r="F221" s="1701">
        <f t="shared" si="27"/>
        <v>51288</v>
      </c>
      <c r="G221" s="964">
        <f t="shared" si="27"/>
        <v>0</v>
      </c>
      <c r="H221" s="1701">
        <f t="shared" si="27"/>
        <v>245.85999999999999</v>
      </c>
      <c r="I221" s="964">
        <f t="shared" si="27"/>
        <v>0</v>
      </c>
      <c r="J221" s="1701">
        <f t="shared" si="27"/>
        <v>47401</v>
      </c>
      <c r="K221" s="964">
        <f t="shared" si="27"/>
        <v>0</v>
      </c>
      <c r="L221" s="1701">
        <f t="shared" si="27"/>
        <v>6.1400000000000148</v>
      </c>
      <c r="M221" s="964">
        <f t="shared" si="27"/>
        <v>0</v>
      </c>
      <c r="N221" s="1701">
        <f t="shared" si="27"/>
        <v>3887</v>
      </c>
      <c r="O221" s="966">
        <f t="shared" si="27"/>
        <v>0</v>
      </c>
      <c r="P221" s="966">
        <f t="shared" si="27"/>
        <v>0</v>
      </c>
    </row>
    <row r="222" spans="2:16">
      <c r="B222" s="3078">
        <f t="shared" ref="B222:P222" si="28">B23</f>
        <v>8</v>
      </c>
      <c r="C222" s="965" t="str">
        <f t="shared" si="28"/>
        <v>שרותים ממלכתיים</v>
      </c>
      <c r="D222" s="964">
        <f t="shared" si="28"/>
        <v>0</v>
      </c>
      <c r="E222" s="964">
        <f t="shared" si="28"/>
        <v>0</v>
      </c>
      <c r="F222" s="964">
        <f t="shared" si="28"/>
        <v>0</v>
      </c>
      <c r="G222" s="964">
        <f t="shared" si="28"/>
        <v>0</v>
      </c>
      <c r="H222" s="964">
        <f t="shared" si="28"/>
        <v>0</v>
      </c>
      <c r="I222" s="964">
        <f t="shared" si="28"/>
        <v>0</v>
      </c>
      <c r="J222" s="964">
        <f t="shared" si="28"/>
        <v>0</v>
      </c>
      <c r="K222" s="964">
        <f t="shared" si="28"/>
        <v>0</v>
      </c>
      <c r="L222" s="964">
        <f t="shared" si="28"/>
        <v>0</v>
      </c>
      <c r="M222" s="964">
        <f t="shared" si="28"/>
        <v>0</v>
      </c>
      <c r="N222" s="954">
        <f t="shared" si="28"/>
        <v>0</v>
      </c>
      <c r="O222" s="966">
        <f t="shared" si="28"/>
        <v>0</v>
      </c>
      <c r="P222" s="966">
        <f t="shared" si="28"/>
        <v>0</v>
      </c>
    </row>
    <row r="223" spans="2:16">
      <c r="B223" s="967">
        <f t="shared" ref="B223:C231" si="29">IF(OR($D223&lt;&gt;0,$F223&lt;&gt;0,$H223&lt;&gt;0,$J223&lt;&gt;0,$L223&lt;&gt;0,$N223&lt;&gt;0),B24,0)</f>
        <v>811</v>
      </c>
      <c r="C223" s="964" t="str">
        <f t="shared" si="29"/>
        <v>מנהל החינוך</v>
      </c>
      <c r="D223" s="964">
        <f t="shared" ref="D223:P223" si="30">D24</f>
        <v>19</v>
      </c>
      <c r="E223" s="964">
        <f t="shared" si="30"/>
        <v>0</v>
      </c>
      <c r="F223" s="964">
        <f t="shared" si="30"/>
        <v>3810</v>
      </c>
      <c r="G223" s="964">
        <f t="shared" si="30"/>
        <v>0</v>
      </c>
      <c r="H223" s="964">
        <f t="shared" si="30"/>
        <v>19.34</v>
      </c>
      <c r="I223" s="964">
        <f t="shared" si="30"/>
        <v>0</v>
      </c>
      <c r="J223" s="964">
        <f t="shared" si="30"/>
        <v>3764</v>
      </c>
      <c r="K223" s="964">
        <f t="shared" si="30"/>
        <v>0</v>
      </c>
      <c r="L223" s="964">
        <f t="shared" si="30"/>
        <v>-0.33999999999999986</v>
      </c>
      <c r="M223" s="964">
        <f t="shared" si="30"/>
        <v>0</v>
      </c>
      <c r="N223" s="954">
        <f t="shared" si="30"/>
        <v>46</v>
      </c>
      <c r="O223" s="966">
        <f t="shared" si="30"/>
        <v>0</v>
      </c>
      <c r="P223" s="966">
        <f t="shared" si="30"/>
        <v>0</v>
      </c>
    </row>
    <row r="224" spans="2:16">
      <c r="B224" s="967">
        <f t="shared" si="29"/>
        <v>812</v>
      </c>
      <c r="C224" s="964" t="str">
        <f t="shared" si="29"/>
        <v>חינוך</v>
      </c>
      <c r="D224" s="964">
        <f t="shared" ref="D224:P224" si="31">D25</f>
        <v>930</v>
      </c>
      <c r="E224" s="964">
        <f t="shared" si="31"/>
        <v>0</v>
      </c>
      <c r="F224" s="964">
        <f t="shared" si="31"/>
        <v>150320</v>
      </c>
      <c r="G224" s="964">
        <f t="shared" si="31"/>
        <v>0</v>
      </c>
      <c r="H224" s="964">
        <f t="shared" si="31"/>
        <v>924.62</v>
      </c>
      <c r="I224" s="964">
        <f t="shared" si="31"/>
        <v>0</v>
      </c>
      <c r="J224" s="964">
        <f t="shared" si="31"/>
        <v>147483</v>
      </c>
      <c r="K224" s="964">
        <f t="shared" si="31"/>
        <v>0</v>
      </c>
      <c r="L224" s="964">
        <f t="shared" si="31"/>
        <v>5.3799999999999955</v>
      </c>
      <c r="M224" s="964">
        <f t="shared" si="31"/>
        <v>0</v>
      </c>
      <c r="N224" s="954">
        <f t="shared" si="31"/>
        <v>2837</v>
      </c>
      <c r="O224" s="966">
        <f t="shared" si="31"/>
        <v>0</v>
      </c>
      <c r="P224" s="966">
        <f t="shared" si="31"/>
        <v>0</v>
      </c>
    </row>
    <row r="225" spans="2:16">
      <c r="B225" s="967">
        <f t="shared" si="29"/>
        <v>82</v>
      </c>
      <c r="C225" s="964" t="str">
        <f t="shared" si="29"/>
        <v>תרבות</v>
      </c>
      <c r="D225" s="964">
        <f t="shared" ref="D225:P225" si="32">D26</f>
        <v>91</v>
      </c>
      <c r="E225" s="964">
        <f t="shared" si="32"/>
        <v>0</v>
      </c>
      <c r="F225" s="964">
        <f t="shared" si="32"/>
        <v>13953</v>
      </c>
      <c r="G225" s="964">
        <f t="shared" si="32"/>
        <v>0</v>
      </c>
      <c r="H225" s="964">
        <f t="shared" si="32"/>
        <v>81.53</v>
      </c>
      <c r="I225" s="964">
        <f t="shared" si="32"/>
        <v>0</v>
      </c>
      <c r="J225" s="964">
        <f t="shared" si="32"/>
        <v>13435</v>
      </c>
      <c r="K225" s="964">
        <f t="shared" si="32"/>
        <v>0</v>
      </c>
      <c r="L225" s="964">
        <f t="shared" si="32"/>
        <v>9.4699999999999989</v>
      </c>
      <c r="M225" s="964">
        <f t="shared" si="32"/>
        <v>0</v>
      </c>
      <c r="N225" s="954">
        <f t="shared" si="32"/>
        <v>518</v>
      </c>
      <c r="O225" s="966">
        <f t="shared" si="32"/>
        <v>0</v>
      </c>
      <c r="P225" s="966">
        <f t="shared" si="32"/>
        <v>0</v>
      </c>
    </row>
    <row r="226" spans="2:16">
      <c r="B226" s="967">
        <f t="shared" si="29"/>
        <v>83</v>
      </c>
      <c r="C226" s="964" t="str">
        <f t="shared" si="29"/>
        <v>בריאות</v>
      </c>
      <c r="D226" s="964">
        <f t="shared" ref="D226:P226" si="33">D27</f>
        <v>3</v>
      </c>
      <c r="E226" s="964">
        <f t="shared" si="33"/>
        <v>0</v>
      </c>
      <c r="F226" s="964">
        <f t="shared" si="33"/>
        <v>607</v>
      </c>
      <c r="G226" s="964">
        <f t="shared" si="33"/>
        <v>0</v>
      </c>
      <c r="H226" s="964">
        <f t="shared" si="33"/>
        <v>2.4300000000000002</v>
      </c>
      <c r="I226" s="964">
        <f t="shared" si="33"/>
        <v>0</v>
      </c>
      <c r="J226" s="964">
        <f t="shared" si="33"/>
        <v>514</v>
      </c>
      <c r="K226" s="964">
        <f t="shared" si="33"/>
        <v>0</v>
      </c>
      <c r="L226" s="964">
        <f t="shared" si="33"/>
        <v>0.56999999999999984</v>
      </c>
      <c r="M226" s="964">
        <f t="shared" si="33"/>
        <v>0</v>
      </c>
      <c r="N226" s="954">
        <f t="shared" si="33"/>
        <v>93</v>
      </c>
      <c r="O226" s="966">
        <f t="shared" si="33"/>
        <v>0</v>
      </c>
      <c r="P226" s="966">
        <f t="shared" si="33"/>
        <v>0</v>
      </c>
    </row>
    <row r="227" spans="2:16">
      <c r="B227" s="967">
        <f t="shared" si="29"/>
        <v>84</v>
      </c>
      <c r="C227" s="964" t="str">
        <f t="shared" si="29"/>
        <v>רווחה</v>
      </c>
      <c r="D227" s="964">
        <f t="shared" ref="D227:P227" si="34">D28</f>
        <v>110</v>
      </c>
      <c r="E227" s="964">
        <f t="shared" si="34"/>
        <v>0</v>
      </c>
      <c r="F227" s="964">
        <f t="shared" si="34"/>
        <v>19149</v>
      </c>
      <c r="G227" s="964">
        <f t="shared" si="34"/>
        <v>0</v>
      </c>
      <c r="H227" s="964">
        <f t="shared" si="34"/>
        <v>103.96</v>
      </c>
      <c r="I227" s="964">
        <f t="shared" si="34"/>
        <v>0</v>
      </c>
      <c r="J227" s="964">
        <f t="shared" si="34"/>
        <v>18362</v>
      </c>
      <c r="K227" s="964">
        <f t="shared" si="34"/>
        <v>0</v>
      </c>
      <c r="L227" s="964">
        <f t="shared" si="34"/>
        <v>6.0400000000000063</v>
      </c>
      <c r="M227" s="964">
        <f t="shared" si="34"/>
        <v>0</v>
      </c>
      <c r="N227" s="954">
        <f t="shared" si="34"/>
        <v>787</v>
      </c>
      <c r="O227" s="966">
        <f t="shared" si="34"/>
        <v>0</v>
      </c>
      <c r="P227" s="966">
        <f t="shared" si="34"/>
        <v>0</v>
      </c>
    </row>
    <row r="228" spans="2:16">
      <c r="B228" s="967">
        <f t="shared" si="29"/>
        <v>0</v>
      </c>
      <c r="C228" s="964">
        <f t="shared" si="29"/>
        <v>0</v>
      </c>
      <c r="D228" s="964">
        <f t="shared" ref="D228:P228" si="35">D29</f>
        <v>0</v>
      </c>
      <c r="E228" s="964">
        <f t="shared" si="35"/>
        <v>0</v>
      </c>
      <c r="F228" s="964">
        <f t="shared" si="35"/>
        <v>0</v>
      </c>
      <c r="G228" s="964">
        <f t="shared" si="35"/>
        <v>0</v>
      </c>
      <c r="H228" s="964">
        <f t="shared" si="35"/>
        <v>0</v>
      </c>
      <c r="I228" s="964">
        <f t="shared" si="35"/>
        <v>0</v>
      </c>
      <c r="J228" s="964">
        <f t="shared" si="35"/>
        <v>0</v>
      </c>
      <c r="K228" s="964">
        <f t="shared" si="35"/>
        <v>0</v>
      </c>
      <c r="L228" s="964">
        <f t="shared" si="35"/>
        <v>0</v>
      </c>
      <c r="M228" s="964">
        <f t="shared" si="35"/>
        <v>0</v>
      </c>
      <c r="N228" s="954">
        <f t="shared" si="35"/>
        <v>0</v>
      </c>
      <c r="O228" s="966">
        <f t="shared" si="35"/>
        <v>0</v>
      </c>
      <c r="P228" s="966">
        <f t="shared" si="35"/>
        <v>0</v>
      </c>
    </row>
    <row r="229" spans="2:16">
      <c r="B229" s="967">
        <f t="shared" si="29"/>
        <v>86</v>
      </c>
      <c r="C229" s="964" t="str">
        <f t="shared" si="29"/>
        <v>קליטת עליה</v>
      </c>
      <c r="D229" s="964">
        <f t="shared" ref="D229:P229" si="36">D30</f>
        <v>1</v>
      </c>
      <c r="E229" s="964">
        <f t="shared" si="36"/>
        <v>0</v>
      </c>
      <c r="F229" s="964">
        <f t="shared" si="36"/>
        <v>81</v>
      </c>
      <c r="G229" s="964">
        <f t="shared" si="36"/>
        <v>0</v>
      </c>
      <c r="H229" s="964">
        <f t="shared" si="36"/>
        <v>0.64</v>
      </c>
      <c r="I229" s="964">
        <f t="shared" si="36"/>
        <v>0</v>
      </c>
      <c r="J229" s="964">
        <f t="shared" si="36"/>
        <v>57</v>
      </c>
      <c r="K229" s="964">
        <f t="shared" si="36"/>
        <v>0</v>
      </c>
      <c r="L229" s="964">
        <f t="shared" si="36"/>
        <v>0.36</v>
      </c>
      <c r="M229" s="964">
        <f t="shared" si="36"/>
        <v>0</v>
      </c>
      <c r="N229" s="954">
        <f t="shared" si="36"/>
        <v>24</v>
      </c>
      <c r="O229" s="966">
        <f t="shared" si="36"/>
        <v>0</v>
      </c>
      <c r="P229" s="966">
        <f t="shared" si="36"/>
        <v>0</v>
      </c>
    </row>
    <row r="230" spans="2:16">
      <c r="B230" s="967">
        <f t="shared" si="29"/>
        <v>87</v>
      </c>
      <c r="C230" s="964" t="str">
        <f t="shared" si="29"/>
        <v>איכות סביבה</v>
      </c>
      <c r="D230" s="964">
        <f t="shared" ref="D230:P230" si="37">D31</f>
        <v>6</v>
      </c>
      <c r="E230" s="964">
        <f t="shared" si="37"/>
        <v>0</v>
      </c>
      <c r="F230" s="964">
        <f t="shared" si="37"/>
        <v>1048</v>
      </c>
      <c r="G230" s="964">
        <f t="shared" si="37"/>
        <v>0</v>
      </c>
      <c r="H230" s="964">
        <f t="shared" si="37"/>
        <v>5.8</v>
      </c>
      <c r="I230" s="964">
        <f t="shared" si="37"/>
        <v>0</v>
      </c>
      <c r="J230" s="964">
        <f t="shared" si="37"/>
        <v>925</v>
      </c>
      <c r="K230" s="964">
        <f t="shared" si="37"/>
        <v>0</v>
      </c>
      <c r="L230" s="964">
        <f t="shared" si="37"/>
        <v>0.20000000000000018</v>
      </c>
      <c r="M230" s="964">
        <f t="shared" si="37"/>
        <v>0</v>
      </c>
      <c r="N230" s="954">
        <f t="shared" si="37"/>
        <v>123</v>
      </c>
      <c r="O230" s="966">
        <f t="shared" si="37"/>
        <v>0</v>
      </c>
      <c r="P230" s="966">
        <f t="shared" si="37"/>
        <v>0</v>
      </c>
    </row>
    <row r="231" spans="2:16">
      <c r="B231" s="967">
        <f t="shared" si="29"/>
        <v>0</v>
      </c>
      <c r="C231" s="964" t="str">
        <f t="shared" si="29"/>
        <v>סה"כ שרותים ממלכתיים</v>
      </c>
      <c r="D231" s="1701">
        <f t="shared" ref="D231:P231" si="38">D32</f>
        <v>1160</v>
      </c>
      <c r="E231" s="964">
        <f t="shared" si="38"/>
        <v>0</v>
      </c>
      <c r="F231" s="1701">
        <f t="shared" si="38"/>
        <v>188968</v>
      </c>
      <c r="G231" s="964">
        <f t="shared" si="38"/>
        <v>0</v>
      </c>
      <c r="H231" s="1701">
        <f t="shared" si="38"/>
        <v>1138.3200000000002</v>
      </c>
      <c r="I231" s="964">
        <f t="shared" si="38"/>
        <v>0</v>
      </c>
      <c r="J231" s="1701">
        <f t="shared" si="38"/>
        <v>184540</v>
      </c>
      <c r="K231" s="964">
        <f t="shared" si="38"/>
        <v>0</v>
      </c>
      <c r="L231" s="1701">
        <f t="shared" si="38"/>
        <v>21.679999999999836</v>
      </c>
      <c r="M231" s="964">
        <f t="shared" si="38"/>
        <v>0</v>
      </c>
      <c r="N231" s="1701">
        <f t="shared" si="38"/>
        <v>4428</v>
      </c>
      <c r="O231" s="966">
        <f t="shared" si="38"/>
        <v>0</v>
      </c>
      <c r="P231" s="966">
        <f t="shared" si="38"/>
        <v>0</v>
      </c>
    </row>
    <row r="232" spans="2:16">
      <c r="B232" s="3078">
        <f t="shared" ref="B232:P232" si="39">B33</f>
        <v>9</v>
      </c>
      <c r="C232" s="965" t="str">
        <f t="shared" si="39"/>
        <v>מפעלים</v>
      </c>
      <c r="D232" s="964">
        <f t="shared" si="39"/>
        <v>0</v>
      </c>
      <c r="E232" s="964">
        <f t="shared" si="39"/>
        <v>0</v>
      </c>
      <c r="F232" s="964">
        <f t="shared" si="39"/>
        <v>0</v>
      </c>
      <c r="G232" s="964">
        <f t="shared" si="39"/>
        <v>0</v>
      </c>
      <c r="H232" s="964">
        <f t="shared" si="39"/>
        <v>0</v>
      </c>
      <c r="I232" s="964">
        <f t="shared" si="39"/>
        <v>0</v>
      </c>
      <c r="J232" s="964">
        <f t="shared" si="39"/>
        <v>0</v>
      </c>
      <c r="K232" s="964">
        <f t="shared" si="39"/>
        <v>0</v>
      </c>
      <c r="L232" s="964">
        <f t="shared" si="39"/>
        <v>0</v>
      </c>
      <c r="M232" s="964">
        <f t="shared" si="39"/>
        <v>0</v>
      </c>
      <c r="N232" s="954">
        <f t="shared" si="39"/>
        <v>0</v>
      </c>
      <c r="O232" s="966">
        <f t="shared" si="39"/>
        <v>0</v>
      </c>
      <c r="P232" s="966">
        <f t="shared" si="39"/>
        <v>0</v>
      </c>
    </row>
    <row r="233" spans="2:16">
      <c r="B233" s="967">
        <f t="shared" ref="B233:C238" si="40">IF(OR($D233&lt;&gt;0,$F233&lt;&gt;0,$H233&lt;&gt;0,$J233&lt;&gt;0,$L233&lt;&gt;0,$N233&lt;&gt;0),B34,0)</f>
        <v>91</v>
      </c>
      <c r="C233" s="964" t="str">
        <f t="shared" si="40"/>
        <v>מים</v>
      </c>
      <c r="D233" s="964">
        <f t="shared" ref="D233:P233" si="41">D34</f>
        <v>10</v>
      </c>
      <c r="E233" s="964">
        <f t="shared" si="41"/>
        <v>0</v>
      </c>
      <c r="F233" s="964">
        <f t="shared" si="41"/>
        <v>2250</v>
      </c>
      <c r="G233" s="964">
        <f t="shared" si="41"/>
        <v>0</v>
      </c>
      <c r="H233" s="964">
        <f t="shared" si="41"/>
        <v>10</v>
      </c>
      <c r="I233" s="964">
        <f t="shared" si="41"/>
        <v>0</v>
      </c>
      <c r="J233" s="964">
        <f t="shared" si="41"/>
        <v>2037</v>
      </c>
      <c r="K233" s="964">
        <f t="shared" si="41"/>
        <v>0</v>
      </c>
      <c r="L233" s="964">
        <f t="shared" si="41"/>
        <v>0</v>
      </c>
      <c r="M233" s="964">
        <f t="shared" si="41"/>
        <v>0</v>
      </c>
      <c r="N233" s="954">
        <f t="shared" si="41"/>
        <v>213</v>
      </c>
      <c r="O233" s="966">
        <f t="shared" si="41"/>
        <v>0</v>
      </c>
      <c r="P233" s="966">
        <f t="shared" si="41"/>
        <v>0</v>
      </c>
    </row>
    <row r="234" spans="2:16">
      <c r="B234" s="967">
        <f t="shared" si="40"/>
        <v>0</v>
      </c>
      <c r="C234" s="964">
        <f t="shared" si="40"/>
        <v>0</v>
      </c>
      <c r="D234" s="964">
        <f t="shared" ref="D234:P234" si="42">D35</f>
        <v>0</v>
      </c>
      <c r="E234" s="964">
        <f t="shared" si="42"/>
        <v>0</v>
      </c>
      <c r="F234" s="964">
        <f t="shared" si="42"/>
        <v>0</v>
      </c>
      <c r="G234" s="964">
        <f t="shared" si="42"/>
        <v>0</v>
      </c>
      <c r="H234" s="964">
        <f t="shared" si="42"/>
        <v>0</v>
      </c>
      <c r="I234" s="964">
        <f t="shared" si="42"/>
        <v>0</v>
      </c>
      <c r="J234" s="964">
        <f t="shared" si="42"/>
        <v>0</v>
      </c>
      <c r="K234" s="964">
        <f t="shared" si="42"/>
        <v>0</v>
      </c>
      <c r="L234" s="964">
        <f t="shared" si="42"/>
        <v>0</v>
      </c>
      <c r="M234" s="964">
        <f t="shared" si="42"/>
        <v>0</v>
      </c>
      <c r="N234" s="954">
        <f t="shared" si="42"/>
        <v>0</v>
      </c>
      <c r="O234" s="966">
        <f t="shared" si="42"/>
        <v>0</v>
      </c>
      <c r="P234" s="966">
        <f t="shared" si="42"/>
        <v>0</v>
      </c>
    </row>
    <row r="235" spans="2:16">
      <c r="B235" s="967">
        <f t="shared" si="40"/>
        <v>93</v>
      </c>
      <c r="C235" s="964" t="str">
        <f t="shared" si="40"/>
        <v>נכסים</v>
      </c>
      <c r="D235" s="964">
        <f t="shared" ref="D235:P235" si="43">D36</f>
        <v>54</v>
      </c>
      <c r="E235" s="964">
        <f t="shared" si="43"/>
        <v>0</v>
      </c>
      <c r="F235" s="964">
        <f t="shared" si="43"/>
        <v>7558</v>
      </c>
      <c r="G235" s="964">
        <f t="shared" si="43"/>
        <v>0</v>
      </c>
      <c r="H235" s="964">
        <f t="shared" si="43"/>
        <v>52.34</v>
      </c>
      <c r="I235" s="964">
        <f t="shared" si="43"/>
        <v>0</v>
      </c>
      <c r="J235" s="964">
        <f t="shared" si="43"/>
        <v>8462</v>
      </c>
      <c r="K235" s="964">
        <f t="shared" si="43"/>
        <v>0</v>
      </c>
      <c r="L235" s="964">
        <f t="shared" si="43"/>
        <v>1.6599999999999966</v>
      </c>
      <c r="M235" s="964">
        <f t="shared" si="43"/>
        <v>0</v>
      </c>
      <c r="N235" s="954">
        <f t="shared" si="43"/>
        <v>-904</v>
      </c>
      <c r="O235" s="966">
        <f t="shared" si="43"/>
        <v>0</v>
      </c>
      <c r="P235" s="966">
        <f t="shared" si="43"/>
        <v>0</v>
      </c>
    </row>
    <row r="236" spans="2:16">
      <c r="B236" s="967">
        <f t="shared" si="40"/>
        <v>94</v>
      </c>
      <c r="C236" s="964" t="str">
        <f t="shared" si="40"/>
        <v>תחבורה</v>
      </c>
      <c r="D236" s="964">
        <f t="shared" ref="D236:P236" si="44">D37</f>
        <v>5</v>
      </c>
      <c r="E236" s="964">
        <f t="shared" si="44"/>
        <v>0</v>
      </c>
      <c r="F236" s="964">
        <f t="shared" si="44"/>
        <v>730</v>
      </c>
      <c r="G236" s="964">
        <f t="shared" si="44"/>
        <v>0</v>
      </c>
      <c r="H236" s="964">
        <f t="shared" si="44"/>
        <v>4.6399999999999997</v>
      </c>
      <c r="I236" s="964">
        <f t="shared" si="44"/>
        <v>0</v>
      </c>
      <c r="J236" s="964">
        <f t="shared" si="44"/>
        <v>679</v>
      </c>
      <c r="K236" s="964">
        <f t="shared" si="44"/>
        <v>0</v>
      </c>
      <c r="L236" s="964">
        <f t="shared" si="44"/>
        <v>0.36000000000000032</v>
      </c>
      <c r="M236" s="964">
        <f t="shared" si="44"/>
        <v>0</v>
      </c>
      <c r="N236" s="954">
        <f t="shared" si="44"/>
        <v>51</v>
      </c>
      <c r="O236" s="966">
        <f t="shared" si="44"/>
        <v>0</v>
      </c>
      <c r="P236" s="966">
        <f t="shared" si="44"/>
        <v>0</v>
      </c>
    </row>
    <row r="237" spans="2:16">
      <c r="B237" s="967">
        <f t="shared" si="40"/>
        <v>97</v>
      </c>
      <c r="C237" s="964" t="str">
        <f t="shared" si="40"/>
        <v>מפעלי ביוב</v>
      </c>
      <c r="D237" s="964">
        <f t="shared" ref="D237:P237" si="45">D38</f>
        <v>7</v>
      </c>
      <c r="E237" s="964">
        <f t="shared" si="45"/>
        <v>0</v>
      </c>
      <c r="F237" s="964">
        <f t="shared" si="45"/>
        <v>1860</v>
      </c>
      <c r="G237" s="964">
        <f t="shared" si="45"/>
        <v>0</v>
      </c>
      <c r="H237" s="964">
        <f t="shared" si="45"/>
        <v>7.68</v>
      </c>
      <c r="I237" s="964">
        <f t="shared" si="45"/>
        <v>0</v>
      </c>
      <c r="J237" s="964">
        <f t="shared" si="45"/>
        <v>1741</v>
      </c>
      <c r="K237" s="964">
        <f t="shared" si="45"/>
        <v>0</v>
      </c>
      <c r="L237" s="964">
        <f t="shared" si="45"/>
        <v>-0.67999999999999972</v>
      </c>
      <c r="M237" s="964">
        <f t="shared" si="45"/>
        <v>0</v>
      </c>
      <c r="N237" s="954">
        <f t="shared" si="45"/>
        <v>119</v>
      </c>
      <c r="O237" s="966">
        <f t="shared" si="45"/>
        <v>0</v>
      </c>
      <c r="P237" s="966">
        <f t="shared" si="45"/>
        <v>0</v>
      </c>
    </row>
    <row r="238" spans="2:16">
      <c r="B238" s="967">
        <f t="shared" si="40"/>
        <v>98</v>
      </c>
      <c r="C238" s="954" t="str">
        <f t="shared" si="40"/>
        <v>מפעלים אחרים</v>
      </c>
      <c r="D238" s="954">
        <f t="shared" ref="D238:P238" si="46">D39</f>
        <v>0</v>
      </c>
      <c r="E238" s="954">
        <f t="shared" si="46"/>
        <v>0</v>
      </c>
      <c r="F238" s="954">
        <f t="shared" si="46"/>
        <v>500</v>
      </c>
      <c r="G238" s="954">
        <f t="shared" si="46"/>
        <v>0</v>
      </c>
      <c r="H238" s="954">
        <f t="shared" si="46"/>
        <v>0</v>
      </c>
      <c r="I238" s="954">
        <f t="shared" si="46"/>
        <v>0</v>
      </c>
      <c r="J238" s="954">
        <f t="shared" si="46"/>
        <v>0</v>
      </c>
      <c r="K238" s="954">
        <f t="shared" si="46"/>
        <v>0</v>
      </c>
      <c r="L238" s="954">
        <f t="shared" si="46"/>
        <v>0</v>
      </c>
      <c r="M238" s="954">
        <f t="shared" si="46"/>
        <v>0</v>
      </c>
      <c r="N238" s="954">
        <f t="shared" si="46"/>
        <v>500</v>
      </c>
      <c r="O238" s="967">
        <f t="shared" si="46"/>
        <v>0</v>
      </c>
      <c r="P238" s="967">
        <f t="shared" si="46"/>
        <v>0</v>
      </c>
    </row>
    <row r="239" spans="2:16">
      <c r="B239" s="945">
        <f t="shared" ref="B239:C241" si="47">IF(OR($D239&lt;&gt;0,$F239&lt;&gt;0,$H239&lt;&gt;0,$J239&lt;&gt;0,$L239&lt;&gt;0,$N239&lt;&gt;0),B40,0)</f>
        <v>0</v>
      </c>
      <c r="C239" s="954" t="str">
        <f t="shared" si="47"/>
        <v>סה"כ מפעלים</v>
      </c>
      <c r="D239" s="1701">
        <f t="shared" ref="D239:P239" si="48">D40</f>
        <v>76</v>
      </c>
      <c r="E239" s="954">
        <f t="shared" si="48"/>
        <v>0</v>
      </c>
      <c r="F239" s="1701">
        <f t="shared" si="48"/>
        <v>12898</v>
      </c>
      <c r="G239" s="954">
        <f t="shared" si="48"/>
        <v>0</v>
      </c>
      <c r="H239" s="1701">
        <f t="shared" si="48"/>
        <v>74.66</v>
      </c>
      <c r="I239" s="954">
        <f t="shared" si="48"/>
        <v>0</v>
      </c>
      <c r="J239" s="1701">
        <f t="shared" si="48"/>
        <v>12919</v>
      </c>
      <c r="K239" s="954">
        <f t="shared" si="48"/>
        <v>0</v>
      </c>
      <c r="L239" s="1701">
        <f t="shared" si="48"/>
        <v>1.3400000000000034</v>
      </c>
      <c r="M239" s="954">
        <f t="shared" si="48"/>
        <v>0</v>
      </c>
      <c r="N239" s="1701">
        <f t="shared" si="48"/>
        <v>-21</v>
      </c>
      <c r="O239" s="963">
        <f t="shared" si="48"/>
        <v>0</v>
      </c>
      <c r="P239" s="963">
        <f t="shared" si="48"/>
        <v>0</v>
      </c>
    </row>
    <row r="240" spans="2:16">
      <c r="B240" s="968">
        <f t="shared" ref="B240:P240" si="49">B41</f>
        <v>0</v>
      </c>
      <c r="C240" s="968">
        <f t="shared" si="49"/>
        <v>0</v>
      </c>
      <c r="D240" s="968">
        <f t="shared" si="49"/>
        <v>0</v>
      </c>
      <c r="E240" s="950">
        <f t="shared" si="49"/>
        <v>0</v>
      </c>
      <c r="F240" s="968">
        <f t="shared" si="49"/>
        <v>0</v>
      </c>
      <c r="G240" s="950">
        <f t="shared" si="49"/>
        <v>0</v>
      </c>
      <c r="H240" s="968">
        <f t="shared" si="49"/>
        <v>0</v>
      </c>
      <c r="I240" s="950">
        <f t="shared" si="49"/>
        <v>0</v>
      </c>
      <c r="J240" s="968">
        <f t="shared" si="49"/>
        <v>0</v>
      </c>
      <c r="K240" s="950">
        <f t="shared" si="49"/>
        <v>0</v>
      </c>
      <c r="L240" s="968">
        <f t="shared" si="49"/>
        <v>0</v>
      </c>
      <c r="M240" s="950">
        <f t="shared" si="49"/>
        <v>0</v>
      </c>
      <c r="N240" s="954">
        <f t="shared" si="49"/>
        <v>0</v>
      </c>
      <c r="O240" s="968">
        <f t="shared" si="49"/>
        <v>0</v>
      </c>
      <c r="P240" s="968">
        <f t="shared" si="49"/>
        <v>0</v>
      </c>
    </row>
    <row r="241" spans="2:16">
      <c r="B241" s="968">
        <f t="shared" si="47"/>
        <v>0</v>
      </c>
      <c r="C241" s="968" t="str">
        <f t="shared" si="47"/>
        <v>גימלאים</v>
      </c>
      <c r="D241" s="968">
        <f t="shared" ref="D241:P241" si="50">D42</f>
        <v>319</v>
      </c>
      <c r="E241" s="950">
        <f t="shared" si="50"/>
        <v>0</v>
      </c>
      <c r="F241" s="968">
        <f t="shared" si="50"/>
        <v>50180</v>
      </c>
      <c r="G241" s="950">
        <f t="shared" si="50"/>
        <v>0</v>
      </c>
      <c r="H241" s="968">
        <f t="shared" si="50"/>
        <v>338.32</v>
      </c>
      <c r="I241" s="950">
        <f t="shared" si="50"/>
        <v>0</v>
      </c>
      <c r="J241" s="968">
        <f t="shared" si="50"/>
        <v>46781</v>
      </c>
      <c r="K241" s="950">
        <f t="shared" si="50"/>
        <v>0</v>
      </c>
      <c r="L241" s="968">
        <f t="shared" si="50"/>
        <v>-19.319999999999993</v>
      </c>
      <c r="M241" s="950">
        <f t="shared" si="50"/>
        <v>0</v>
      </c>
      <c r="N241" s="954">
        <f t="shared" si="50"/>
        <v>3399</v>
      </c>
      <c r="O241" s="968">
        <f t="shared" si="50"/>
        <v>0</v>
      </c>
      <c r="P241" s="968">
        <f t="shared" si="50"/>
        <v>0</v>
      </c>
    </row>
    <row r="242" spans="2:16">
      <c r="B242" s="968">
        <f t="shared" ref="B242:P242" si="51">B43</f>
        <v>0</v>
      </c>
      <c r="C242" s="968">
        <f t="shared" si="51"/>
        <v>0</v>
      </c>
      <c r="D242" s="968">
        <f t="shared" si="51"/>
        <v>0</v>
      </c>
      <c r="E242" s="950">
        <f t="shared" si="51"/>
        <v>0</v>
      </c>
      <c r="F242" s="968">
        <f t="shared" si="51"/>
        <v>0</v>
      </c>
      <c r="G242" s="950">
        <f t="shared" si="51"/>
        <v>0</v>
      </c>
      <c r="H242" s="968">
        <f t="shared" si="51"/>
        <v>0</v>
      </c>
      <c r="I242" s="950">
        <f t="shared" si="51"/>
        <v>0</v>
      </c>
      <c r="J242" s="968">
        <f t="shared" si="51"/>
        <v>0</v>
      </c>
      <c r="K242" s="950">
        <f t="shared" si="51"/>
        <v>0</v>
      </c>
      <c r="L242" s="968">
        <f t="shared" si="51"/>
        <v>0</v>
      </c>
      <c r="M242" s="950">
        <f t="shared" si="51"/>
        <v>0</v>
      </c>
      <c r="N242" s="954">
        <f t="shared" si="51"/>
        <v>0</v>
      </c>
      <c r="O242" s="968">
        <f t="shared" si="51"/>
        <v>0</v>
      </c>
      <c r="P242" s="968">
        <f t="shared" si="51"/>
        <v>0</v>
      </c>
    </row>
    <row r="243" spans="2:16" ht="13.8" thickBot="1">
      <c r="B243" s="968">
        <f t="shared" ref="B243:P243" si="52">B44</f>
        <v>0</v>
      </c>
      <c r="C243" s="3079" t="str">
        <f t="shared" si="52"/>
        <v>סה"כ כללי</v>
      </c>
      <c r="D243" s="2699">
        <f t="shared" si="52"/>
        <v>1954</v>
      </c>
      <c r="E243" s="950">
        <f t="shared" si="52"/>
        <v>0</v>
      </c>
      <c r="F243" s="2699">
        <f t="shared" si="52"/>
        <v>332705</v>
      </c>
      <c r="G243" s="950">
        <f t="shared" si="52"/>
        <v>0</v>
      </c>
      <c r="H243" s="2699">
        <f t="shared" si="52"/>
        <v>1939.3100000000002</v>
      </c>
      <c r="I243" s="950">
        <f t="shared" si="52"/>
        <v>0</v>
      </c>
      <c r="J243" s="2699">
        <f t="shared" si="52"/>
        <v>319902</v>
      </c>
      <c r="K243" s="950" t="str">
        <f t="shared" si="52"/>
        <v>*</v>
      </c>
      <c r="L243" s="2699">
        <f t="shared" si="52"/>
        <v>14.689999999999827</v>
      </c>
      <c r="M243" s="950">
        <f t="shared" si="52"/>
        <v>0</v>
      </c>
      <c r="N243" s="2699">
        <f t="shared" si="52"/>
        <v>12803</v>
      </c>
      <c r="O243" s="968">
        <f t="shared" si="52"/>
        <v>0</v>
      </c>
      <c r="P243" s="968">
        <f t="shared" si="52"/>
        <v>0</v>
      </c>
    </row>
    <row r="244" spans="2:16" ht="13.8" thickTop="1">
      <c r="B244" s="968">
        <f t="shared" ref="B244:P244" si="53">B45</f>
        <v>0</v>
      </c>
      <c r="C244" s="968">
        <f t="shared" si="53"/>
        <v>0</v>
      </c>
      <c r="D244" s="968">
        <f t="shared" si="53"/>
        <v>0</v>
      </c>
      <c r="E244" s="950">
        <f t="shared" si="53"/>
        <v>0</v>
      </c>
      <c r="F244" s="968">
        <f t="shared" si="53"/>
        <v>0</v>
      </c>
      <c r="G244" s="950">
        <f t="shared" si="53"/>
        <v>0</v>
      </c>
      <c r="H244" s="968">
        <f t="shared" si="53"/>
        <v>0</v>
      </c>
      <c r="I244" s="950">
        <f t="shared" si="53"/>
        <v>0</v>
      </c>
      <c r="J244" s="968">
        <f t="shared" si="53"/>
        <v>0</v>
      </c>
      <c r="K244" s="950">
        <f t="shared" si="53"/>
        <v>0</v>
      </c>
      <c r="L244" s="968">
        <f t="shared" si="53"/>
        <v>0</v>
      </c>
      <c r="M244" s="950">
        <f t="shared" si="53"/>
        <v>0</v>
      </c>
      <c r="N244" s="968">
        <f t="shared" si="53"/>
        <v>0</v>
      </c>
      <c r="O244" s="968">
        <f t="shared" si="53"/>
        <v>0</v>
      </c>
      <c r="P244" s="968">
        <f t="shared" si="53"/>
        <v>0</v>
      </c>
    </row>
    <row r="245" spans="2:16">
      <c r="B245" s="968">
        <f t="shared" ref="B245:P245" si="54">B46</f>
        <v>0</v>
      </c>
      <c r="C245" s="3602" t="str">
        <f t="shared" si="54"/>
        <v>*הערה: הסך הנ"ל כולל פיצויים בסך  5545 אלפי ש"ח</v>
      </c>
      <c r="D245" s="3602"/>
      <c r="E245" s="3602"/>
      <c r="F245" s="3602"/>
      <c r="G245" s="950">
        <f t="shared" si="54"/>
        <v>0</v>
      </c>
      <c r="H245" s="968">
        <f t="shared" si="54"/>
        <v>0</v>
      </c>
      <c r="I245" s="950">
        <f t="shared" si="54"/>
        <v>0</v>
      </c>
      <c r="J245" s="968">
        <f t="shared" si="54"/>
        <v>0</v>
      </c>
      <c r="K245" s="950">
        <f t="shared" si="54"/>
        <v>0</v>
      </c>
      <c r="L245" s="968">
        <f t="shared" si="54"/>
        <v>0</v>
      </c>
      <c r="M245" s="950">
        <f t="shared" si="54"/>
        <v>0</v>
      </c>
      <c r="N245" s="968">
        <f t="shared" si="54"/>
        <v>0</v>
      </c>
      <c r="O245" s="968">
        <f t="shared" si="54"/>
        <v>0</v>
      </c>
      <c r="P245" s="968">
        <f t="shared" si="54"/>
        <v>0</v>
      </c>
    </row>
    <row r="246" spans="2:16">
      <c r="B246" s="968">
        <f t="shared" ref="B246:P246" si="55">B49</f>
        <v>0</v>
      </c>
      <c r="C246" s="3079" t="str">
        <f t="shared" si="55"/>
        <v>רכישת שרותי כוח אדם</v>
      </c>
      <c r="D246" s="3604" t="str">
        <f t="shared" si="55"/>
        <v>תקציב 2015</v>
      </c>
      <c r="E246" s="3604"/>
      <c r="F246" s="3604"/>
      <c r="G246" s="3604"/>
      <c r="H246" s="3604"/>
      <c r="I246" s="3082">
        <f t="shared" si="55"/>
        <v>0</v>
      </c>
      <c r="J246" s="3604" t="str">
        <f t="shared" si="55"/>
        <v>ביצוע 2015</v>
      </c>
      <c r="K246" s="3604"/>
      <c r="L246" s="3604"/>
      <c r="M246" s="3604"/>
      <c r="N246" s="3604"/>
      <c r="O246" s="3079">
        <f t="shared" si="55"/>
        <v>0</v>
      </c>
      <c r="P246" s="3085" t="str">
        <f t="shared" si="55"/>
        <v>הפרש עלויות</v>
      </c>
    </row>
    <row r="247" spans="2:16">
      <c r="B247" s="968">
        <f t="shared" ref="B247:P247" si="56">B50</f>
        <v>0</v>
      </c>
      <c r="C247" s="968">
        <f t="shared" si="56"/>
        <v>0</v>
      </c>
      <c r="D247" s="3081" t="str">
        <f t="shared" si="56"/>
        <v>מס' מועסקים</v>
      </c>
      <c r="E247" s="3083">
        <f t="shared" si="56"/>
        <v>0</v>
      </c>
      <c r="F247" s="3081" t="str">
        <f t="shared" si="56"/>
        <v>עלות כוללת</v>
      </c>
      <c r="G247" s="3601" t="str">
        <f>G50</f>
        <v>מס' שעות העסקה</v>
      </c>
      <c r="H247" s="3601"/>
      <c r="I247" s="3601"/>
      <c r="J247" s="3081" t="str">
        <f t="shared" si="56"/>
        <v>מס' מועסקים</v>
      </c>
      <c r="K247" s="3083">
        <f t="shared" si="56"/>
        <v>0</v>
      </c>
      <c r="L247" s="3081" t="str">
        <f t="shared" si="56"/>
        <v>עלות כוללת</v>
      </c>
      <c r="M247" s="3601" t="str">
        <f>M50</f>
        <v>מס' שעות העסקה</v>
      </c>
      <c r="N247" s="3601"/>
      <c r="O247" s="3601"/>
      <c r="P247" s="3081">
        <f t="shared" si="56"/>
        <v>0</v>
      </c>
    </row>
    <row r="248" spans="2:16">
      <c r="B248" s="968">
        <f t="shared" ref="B248:P248" si="57">B52</f>
        <v>0</v>
      </c>
      <c r="C248" s="968" t="str">
        <f t="shared" si="57"/>
        <v>העסקת כח אדם באמצעות חברות השמה</v>
      </c>
      <c r="D248" s="968">
        <f t="shared" si="57"/>
        <v>0</v>
      </c>
      <c r="E248" s="950">
        <f t="shared" si="57"/>
        <v>0</v>
      </c>
      <c r="F248" s="968">
        <f t="shared" si="57"/>
        <v>2931</v>
      </c>
      <c r="G248" s="950">
        <f t="shared" si="57"/>
        <v>0</v>
      </c>
      <c r="H248" s="968">
        <f t="shared" si="57"/>
        <v>0</v>
      </c>
      <c r="I248" s="950">
        <f t="shared" si="57"/>
        <v>0</v>
      </c>
      <c r="J248" s="968">
        <f t="shared" si="57"/>
        <v>0</v>
      </c>
      <c r="K248" s="950">
        <f t="shared" si="57"/>
        <v>0</v>
      </c>
      <c r="L248" s="968">
        <f t="shared" si="57"/>
        <v>2090</v>
      </c>
      <c r="M248" s="950">
        <f t="shared" si="57"/>
        <v>0</v>
      </c>
      <c r="N248" s="968">
        <f t="shared" si="57"/>
        <v>0</v>
      </c>
      <c r="O248" s="968">
        <f t="shared" si="57"/>
        <v>0</v>
      </c>
      <c r="P248" s="968">
        <f t="shared" si="57"/>
        <v>841</v>
      </c>
    </row>
  </sheetData>
  <sheetProtection password="83C1" sheet="1" objects="1" scenarios="1"/>
  <mergeCells count="25">
    <mergeCell ref="D1:L1"/>
    <mergeCell ref="D2:L2"/>
    <mergeCell ref="B184:N184"/>
    <mergeCell ref="B4:N4"/>
    <mergeCell ref="B179:N179"/>
    <mergeCell ref="B183:N183"/>
    <mergeCell ref="B180:N180"/>
    <mergeCell ref="D6:F6"/>
    <mergeCell ref="H6:J6"/>
    <mergeCell ref="L6:N6"/>
    <mergeCell ref="C49:C50"/>
    <mergeCell ref="D49:H49"/>
    <mergeCell ref="J49:N49"/>
    <mergeCell ref="G50:I50"/>
    <mergeCell ref="M50:O50"/>
    <mergeCell ref="D200:J200"/>
    <mergeCell ref="D201:J201"/>
    <mergeCell ref="G247:I247"/>
    <mergeCell ref="M247:O247"/>
    <mergeCell ref="C245:F245"/>
    <mergeCell ref="D205:F205"/>
    <mergeCell ref="H205:J205"/>
    <mergeCell ref="D246:H246"/>
    <mergeCell ref="J246:N246"/>
    <mergeCell ref="L205:N205"/>
  </mergeCells>
  <phoneticPr fontId="4" type="noConversion"/>
  <hyperlinks>
    <hyperlink ref="A3" location="'תוכן הענינים'!A1" tooltip="לחץ להצגת גליון תוכן הענינים" display="הצג תוכן ענינים"/>
  </hyperlinks>
  <printOptions horizontalCentered="1"/>
  <pageMargins left="0" right="0.15" top="0.75" bottom="0.98425196850393704" header="0.25" footer="0.511811023622047"/>
  <pageSetup paperSize="9" scale="80" orientation="portrait" blackAndWhite="1" horizontalDpi="300" verticalDpi="300" r:id="rId1"/>
  <headerFooter alignWithMargins="0">
    <oddHeader>&amp;L&amp;8&amp;A</oddHeader>
    <oddFooter>&amp;L &amp;C&amp;8&amp;P</oddFooter>
  </headerFooter>
  <rowBreaks count="1" manualBreakCount="1">
    <brk id="47" max="16383" man="1"/>
  </rowBreaks>
  <cellWatches>
    <cellWatch r="C52"/>
  </cellWatches>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9">
    <pageSetUpPr autoPageBreaks="0"/>
  </sheetPr>
  <dimension ref="A1:L235"/>
  <sheetViews>
    <sheetView showGridLines="0" showRowColHeaders="0" showZeros="0" rightToLeft="1" showOutlineSymbols="0" zoomScaleNormal="100" zoomScaleSheetLayoutView="75" workbookViewId="0">
      <selection activeCell="A4" sqref="A4"/>
    </sheetView>
  </sheetViews>
  <sheetFormatPr defaultColWidth="9.109375" defaultRowHeight="13.2"/>
  <cols>
    <col min="1" max="1" width="5.44140625" style="1623" customWidth="1"/>
    <col min="2" max="2" width="37.33203125" style="1623" customWidth="1"/>
    <col min="3" max="3" width="2.6640625" style="1623" customWidth="1"/>
    <col min="4" max="4" width="12" style="1691" customWidth="1"/>
    <col min="5" max="5" width="2.6640625" style="1623" customWidth="1"/>
    <col min="6" max="6" width="12" style="1623" customWidth="1"/>
    <col min="7" max="7" width="2.6640625" style="1623" customWidth="1"/>
    <col min="8" max="8" width="12" style="1623" customWidth="1"/>
    <col min="9" max="9" width="2.6640625" style="1623" customWidth="1"/>
    <col min="10" max="10" width="12" style="1623" customWidth="1"/>
    <col min="11" max="16384" width="9.109375" style="1623"/>
  </cols>
  <sheetData>
    <row r="1" spans="1:12" ht="18.75" customHeight="1">
      <c r="A1" s="1619"/>
      <c r="B1" s="1620"/>
      <c r="C1" s="1620"/>
      <c r="D1" s="3548" t="str">
        <f>'הגדרות כלליות'!D6</f>
        <v>עירית הרצליה</v>
      </c>
      <c r="E1" s="3452"/>
      <c r="F1" s="3452"/>
      <c r="G1" s="3452"/>
      <c r="H1" s="3452"/>
      <c r="I1" s="3452"/>
      <c r="J1" s="3549"/>
      <c r="K1" s="1621"/>
      <c r="L1" s="1622"/>
    </row>
    <row r="2" spans="1:12" ht="15.6">
      <c r="A2" s="1620"/>
      <c r="B2" s="1620"/>
      <c r="C2" s="3622" t="s">
        <v>969</v>
      </c>
      <c r="D2" s="3623"/>
      <c r="E2" s="3623"/>
      <c r="F2" s="3623"/>
      <c r="G2" s="3623"/>
      <c r="H2" s="3623"/>
      <c r="I2" s="3623"/>
      <c r="J2" s="3623"/>
      <c r="K2" s="1624"/>
      <c r="L2" s="1622"/>
    </row>
    <row r="3" spans="1:12" ht="15.6">
      <c r="A3" s="1620"/>
      <c r="B3" s="1625"/>
      <c r="C3" s="1625"/>
      <c r="D3" s="3552" t="str">
        <f>CONCATENATE("לשנה שנסתיימה ביום 31 בדצמבר ",'הגדרות כלליות'!D10, " (אלפי ש''ח) ")</f>
        <v xml:space="preserve">לשנה שנסתיימה ביום 31 בדצמבר 2015 (אלפי ש''ח) </v>
      </c>
      <c r="E3" s="3452"/>
      <c r="F3" s="3452"/>
      <c r="G3" s="3452"/>
      <c r="H3" s="3452"/>
      <c r="I3" s="3452"/>
      <c r="J3" s="3452"/>
      <c r="K3" s="1626"/>
      <c r="L3" s="1622"/>
    </row>
    <row r="4" spans="1:12" ht="28.5" customHeight="1">
      <c r="A4" s="7" t="s">
        <v>339</v>
      </c>
      <c r="B4" s="1627"/>
      <c r="C4" s="1279"/>
      <c r="D4" s="1279"/>
      <c r="E4" s="1279"/>
      <c r="F4" s="1279"/>
      <c r="G4" s="1279"/>
      <c r="H4" s="1279"/>
      <c r="I4" s="1279"/>
      <c r="J4" s="1279"/>
      <c r="K4" s="1628"/>
      <c r="L4" s="1622"/>
    </row>
    <row r="5" spans="1:12">
      <c r="A5" s="1628"/>
      <c r="B5" s="3543" t="s">
        <v>970</v>
      </c>
      <c r="C5" s="1629"/>
      <c r="D5" s="3545">
        <f>'הגדרות כלליות'!D10</f>
        <v>2015</v>
      </c>
      <c r="E5" s="3545"/>
      <c r="F5" s="3545"/>
      <c r="G5" s="1630"/>
      <c r="H5" s="3546">
        <f>'הגדרות כלליות'!D12</f>
        <v>2014</v>
      </c>
      <c r="I5" s="3546"/>
      <c r="J5" s="3547"/>
      <c r="K5" s="1628"/>
      <c r="L5" s="1622"/>
    </row>
    <row r="6" spans="1:12">
      <c r="A6" s="1631"/>
      <c r="B6" s="3544"/>
      <c r="C6" s="1632"/>
      <c r="D6" s="1633" t="s">
        <v>396</v>
      </c>
      <c r="E6" s="1634"/>
      <c r="F6" s="1634" t="s">
        <v>899</v>
      </c>
      <c r="G6" s="1634"/>
      <c r="H6" s="1634" t="s">
        <v>396</v>
      </c>
      <c r="I6" s="3148"/>
      <c r="J6" s="1635" t="s">
        <v>899</v>
      </c>
      <c r="K6" s="1628"/>
      <c r="L6" s="1622"/>
    </row>
    <row r="7" spans="1:12" ht="11.25" customHeight="1">
      <c r="A7" s="1628"/>
      <c r="B7" s="1636"/>
      <c r="C7" s="1637"/>
      <c r="D7" s="1638"/>
      <c r="E7" s="1637"/>
      <c r="F7" s="1637"/>
      <c r="G7" s="1637"/>
      <c r="H7" s="1637"/>
      <c r="I7" s="1637"/>
      <c r="J7" s="1639"/>
      <c r="K7" s="1628"/>
      <c r="L7" s="1622"/>
    </row>
    <row r="8" spans="1:12" ht="13.65" customHeight="1">
      <c r="A8" s="1640"/>
      <c r="B8" s="1641" t="s">
        <v>971</v>
      </c>
      <c r="C8" s="1637"/>
      <c r="D8" s="1642">
        <v>161385</v>
      </c>
      <c r="E8" s="1643"/>
      <c r="F8" s="1418">
        <f t="shared" ref="F8:F16" si="0">IF($D$25&lt;&gt;0,D8/$D$25,0)</f>
        <v>0.50448262280323353</v>
      </c>
      <c r="G8" s="1643"/>
      <c r="H8" s="1645">
        <v>156014</v>
      </c>
      <c r="I8" s="234"/>
      <c r="J8" s="1644">
        <f t="shared" ref="J8:J16" si="1">IF($H$25&lt;&gt;0,H8/$H$25,0)</f>
        <v>0.51359082993439131</v>
      </c>
      <c r="K8" s="1628"/>
      <c r="L8" s="1622"/>
    </row>
    <row r="9" spans="1:12" ht="13.65" customHeight="1">
      <c r="A9" s="1640"/>
      <c r="B9" s="1641" t="s">
        <v>972</v>
      </c>
      <c r="C9" s="1637"/>
      <c r="D9" s="1645">
        <v>8595</v>
      </c>
      <c r="E9" s="1643"/>
      <c r="F9" s="1421">
        <f t="shared" si="0"/>
        <v>2.6867603203481066E-2</v>
      </c>
      <c r="G9" s="1643"/>
      <c r="H9" s="1645">
        <v>8071</v>
      </c>
      <c r="I9" s="234"/>
      <c r="J9" s="1646">
        <f t="shared" si="1"/>
        <v>2.6569356521853632E-2</v>
      </c>
      <c r="K9" s="1628"/>
      <c r="L9" s="1622"/>
    </row>
    <row r="10" spans="1:12" ht="13.65" customHeight="1">
      <c r="A10" s="1640"/>
      <c r="B10" s="1641" t="s">
        <v>973</v>
      </c>
      <c r="C10" s="1637"/>
      <c r="D10" s="1645">
        <v>5467</v>
      </c>
      <c r="E10" s="1643"/>
      <c r="F10" s="1421">
        <f t="shared" si="0"/>
        <v>1.7089608692662128E-2</v>
      </c>
      <c r="G10" s="1643"/>
      <c r="H10" s="1645">
        <v>4404</v>
      </c>
      <c r="I10" s="234"/>
      <c r="J10" s="1646">
        <f t="shared" si="1"/>
        <v>1.4497763117611622E-2</v>
      </c>
      <c r="K10" s="1628"/>
      <c r="L10" s="1622"/>
    </row>
    <row r="11" spans="1:12" ht="13.65" customHeight="1">
      <c r="A11" s="1640"/>
      <c r="B11" s="1641" t="s">
        <v>974</v>
      </c>
      <c r="C11" s="1637"/>
      <c r="D11" s="1645">
        <v>13035</v>
      </c>
      <c r="E11" s="1643"/>
      <c r="F11" s="1421">
        <f t="shared" si="0"/>
        <v>4.074685372395296E-2</v>
      </c>
      <c r="G11" s="1643"/>
      <c r="H11" s="1645">
        <v>12370</v>
      </c>
      <c r="I11" s="234"/>
      <c r="J11" s="1646">
        <f t="shared" si="1"/>
        <v>4.072146452426334E-2</v>
      </c>
      <c r="K11" s="1628"/>
      <c r="L11" s="1622"/>
    </row>
    <row r="12" spans="1:12" ht="13.65" customHeight="1">
      <c r="A12" s="1640"/>
      <c r="B12" s="1641" t="s">
        <v>975</v>
      </c>
      <c r="C12" s="1637"/>
      <c r="D12" s="1645">
        <v>42319</v>
      </c>
      <c r="E12" s="1643"/>
      <c r="F12" s="1421">
        <f t="shared" si="0"/>
        <v>0.13228738801257886</v>
      </c>
      <c r="G12" s="1643"/>
      <c r="H12" s="1645">
        <v>40580</v>
      </c>
      <c r="I12" s="234"/>
      <c r="J12" s="1646">
        <f t="shared" si="1"/>
        <v>0.13358747214184369</v>
      </c>
      <c r="K12" s="1628"/>
      <c r="L12" s="1622"/>
    </row>
    <row r="13" spans="1:12" ht="13.65" customHeight="1">
      <c r="A13" s="1640"/>
      <c r="B13" s="1641" t="s">
        <v>976</v>
      </c>
      <c r="C13" s="1637"/>
      <c r="D13" s="1645">
        <v>1493</v>
      </c>
      <c r="E13" s="1643"/>
      <c r="F13" s="1421">
        <f t="shared" si="0"/>
        <v>4.6670542853748959E-3</v>
      </c>
      <c r="G13" s="1643"/>
      <c r="H13" s="1645">
        <v>1607</v>
      </c>
      <c r="I13" s="234"/>
      <c r="J13" s="1646">
        <f t="shared" si="1"/>
        <v>5.2901692393283097E-3</v>
      </c>
      <c r="K13" s="1628"/>
      <c r="L13" s="1622"/>
    </row>
    <row r="14" spans="1:12" ht="25.5" customHeight="1">
      <c r="A14" s="1640"/>
      <c r="B14" s="1647" t="s">
        <v>977</v>
      </c>
      <c r="C14" s="1637"/>
      <c r="D14" s="1645">
        <v>25111</v>
      </c>
      <c r="E14" s="1643"/>
      <c r="F14" s="1421">
        <f t="shared" si="0"/>
        <v>7.8495914373776968E-2</v>
      </c>
      <c r="G14" s="1643"/>
      <c r="H14" s="1645">
        <v>22101</v>
      </c>
      <c r="I14" s="234"/>
      <c r="J14" s="1646">
        <f t="shared" si="1"/>
        <v>7.2755463819785302E-2</v>
      </c>
      <c r="K14" s="1628"/>
      <c r="L14" s="1622"/>
    </row>
    <row r="15" spans="1:12" ht="13.65" customHeight="1">
      <c r="A15" s="1640"/>
      <c r="B15" s="1648" t="s">
        <v>350</v>
      </c>
      <c r="C15" s="1637"/>
      <c r="D15" s="1649"/>
      <c r="E15" s="1643"/>
      <c r="F15" s="1650">
        <f t="shared" si="0"/>
        <v>0</v>
      </c>
      <c r="G15" s="1643"/>
      <c r="H15" s="1649"/>
      <c r="I15" s="234"/>
      <c r="J15" s="1651">
        <f t="shared" si="1"/>
        <v>0</v>
      </c>
      <c r="K15" s="1628"/>
      <c r="L15" s="1622"/>
    </row>
    <row r="16" spans="1:12" ht="13.65" customHeight="1">
      <c r="A16" s="1640"/>
      <c r="B16" s="1641" t="s">
        <v>978</v>
      </c>
      <c r="C16" s="1637"/>
      <c r="D16" s="1652">
        <f>SUM(D8:D15)</f>
        <v>257405</v>
      </c>
      <c r="E16" s="1643"/>
      <c r="F16" s="1653">
        <f t="shared" si="0"/>
        <v>0.8046370450950604</v>
      </c>
      <c r="G16" s="1643"/>
      <c r="H16" s="1652">
        <f>SUM(H8:H15)</f>
        <v>245147</v>
      </c>
      <c r="I16" s="234"/>
      <c r="J16" s="1654">
        <f t="shared" si="1"/>
        <v>0.80701251929907725</v>
      </c>
      <c r="K16" s="1628"/>
      <c r="L16" s="1622"/>
    </row>
    <row r="17" spans="1:12" ht="13.65" customHeight="1">
      <c r="A17" s="1640"/>
      <c r="B17" s="1636"/>
      <c r="C17" s="1637"/>
      <c r="D17" s="1655"/>
      <c r="E17" s="1643"/>
      <c r="F17" s="1656"/>
      <c r="G17" s="1643"/>
      <c r="H17" s="1655"/>
      <c r="I17" s="1643"/>
      <c r="J17" s="1657"/>
      <c r="K17" s="1628"/>
      <c r="L17" s="1622"/>
    </row>
    <row r="18" spans="1:12" ht="13.65" customHeight="1">
      <c r="A18" s="1640"/>
      <c r="B18" s="1641" t="s">
        <v>981</v>
      </c>
      <c r="C18" s="1637"/>
      <c r="D18" s="1642">
        <v>10653</v>
      </c>
      <c r="E18" s="1643"/>
      <c r="F18" s="1418">
        <f t="shared" ref="F18:F23" si="2">IF($D$25&lt;&gt;0,D18/$D$25,0)</f>
        <v>3.3300823377159255E-2</v>
      </c>
      <c r="G18" s="1643"/>
      <c r="H18" s="1642">
        <v>9822</v>
      </c>
      <c r="I18" s="234"/>
      <c r="J18" s="1644">
        <f t="shared" ref="J18:J23" si="3">IF($H$25&lt;&gt;0,H18/$H$25,0)</f>
        <v>3.2333567062030277E-2</v>
      </c>
      <c r="K18" s="1628"/>
      <c r="L18" s="1622"/>
    </row>
    <row r="19" spans="1:12" ht="13.65" customHeight="1">
      <c r="A19" s="1640"/>
      <c r="B19" s="1641" t="s">
        <v>982</v>
      </c>
      <c r="C19" s="1637"/>
      <c r="D19" s="1645">
        <v>33118</v>
      </c>
      <c r="E19" s="1643"/>
      <c r="F19" s="1421">
        <f t="shared" si="2"/>
        <v>0.10352545467049284</v>
      </c>
      <c r="G19" s="1643"/>
      <c r="H19" s="1645">
        <v>30944</v>
      </c>
      <c r="I19" s="234"/>
      <c r="J19" s="1646">
        <f t="shared" si="3"/>
        <v>0.10186620842674252</v>
      </c>
      <c r="K19" s="1628"/>
      <c r="L19" s="1622"/>
    </row>
    <row r="20" spans="1:12" ht="13.65" customHeight="1">
      <c r="A20" s="1640"/>
      <c r="B20" s="1658" t="s">
        <v>983</v>
      </c>
      <c r="C20" s="1637"/>
      <c r="D20" s="1645">
        <v>18726</v>
      </c>
      <c r="E20" s="1643"/>
      <c r="F20" s="1421">
        <f t="shared" si="2"/>
        <v>5.8536676857287542E-2</v>
      </c>
      <c r="G20" s="1643"/>
      <c r="H20" s="1645">
        <v>17858</v>
      </c>
      <c r="I20" s="234"/>
      <c r="J20" s="1646">
        <f t="shared" si="3"/>
        <v>5.8787705212149939E-2</v>
      </c>
      <c r="K20" s="1628"/>
      <c r="L20" s="1622"/>
    </row>
    <row r="21" spans="1:12" ht="13.65" customHeight="1">
      <c r="A21" s="1640"/>
      <c r="B21" s="1658" t="s">
        <v>984</v>
      </c>
      <c r="C21" s="1637"/>
      <c r="D21" s="1645"/>
      <c r="E21" s="1643"/>
      <c r="F21" s="1421">
        <f t="shared" si="2"/>
        <v>0</v>
      </c>
      <c r="G21" s="1643"/>
      <c r="H21" s="1645"/>
      <c r="I21" s="234"/>
      <c r="J21" s="1646">
        <f t="shared" si="3"/>
        <v>0</v>
      </c>
      <c r="K21" s="1628"/>
      <c r="L21" s="1622"/>
    </row>
    <row r="22" spans="1:12" ht="13.65" customHeight="1">
      <c r="A22" s="1640"/>
      <c r="B22" s="1659" t="s">
        <v>350</v>
      </c>
      <c r="C22" s="1637"/>
      <c r="D22" s="1649"/>
      <c r="E22" s="1643"/>
      <c r="F22" s="1650">
        <f t="shared" si="2"/>
        <v>0</v>
      </c>
      <c r="G22" s="1643"/>
      <c r="H22" s="1649"/>
      <c r="I22" s="234"/>
      <c r="J22" s="1651">
        <f t="shared" si="3"/>
        <v>0</v>
      </c>
      <c r="K22" s="1628"/>
      <c r="L22" s="1622"/>
    </row>
    <row r="23" spans="1:12" ht="13.65" customHeight="1">
      <c r="A23" s="1640"/>
      <c r="B23" s="1641" t="s">
        <v>985</v>
      </c>
      <c r="C23" s="1637"/>
      <c r="D23" s="1652">
        <f>SUM(D18:D22)</f>
        <v>62497</v>
      </c>
      <c r="E23" s="1643"/>
      <c r="F23" s="1653">
        <f t="shared" si="2"/>
        <v>0.19536295490493963</v>
      </c>
      <c r="G23" s="1643"/>
      <c r="H23" s="1652">
        <f>SUM(H18:H22)</f>
        <v>58624</v>
      </c>
      <c r="I23" s="234"/>
      <c r="J23" s="1654">
        <f t="shared" si="3"/>
        <v>0.19298748070092273</v>
      </c>
      <c r="K23" s="1628"/>
      <c r="L23" s="1622"/>
    </row>
    <row r="24" spans="1:12" ht="6.9" customHeight="1">
      <c r="A24" s="1628"/>
      <c r="B24" s="1641"/>
      <c r="C24" s="1637"/>
      <c r="D24" s="1655"/>
      <c r="E24" s="1643"/>
      <c r="F24" s="1656"/>
      <c r="G24" s="1643"/>
      <c r="H24" s="1655"/>
      <c r="I24" s="1643"/>
      <c r="J24" s="1657"/>
      <c r="K24" s="1628"/>
      <c r="L24" s="1622"/>
    </row>
    <row r="25" spans="1:12" ht="13.65" customHeight="1" thickBot="1">
      <c r="A25" s="1640"/>
      <c r="B25" s="1641" t="s">
        <v>481</v>
      </c>
      <c r="C25" s="1637"/>
      <c r="D25" s="1660">
        <f>D16+D23</f>
        <v>319902</v>
      </c>
      <c r="E25" s="1643"/>
      <c r="F25" s="1661">
        <f>IF($D$25&lt;&gt;0,D25/$D$25,0)</f>
        <v>1</v>
      </c>
      <c r="G25" s="1643"/>
      <c r="H25" s="1660">
        <f>H16+H23</f>
        <v>303771</v>
      </c>
      <c r="I25" s="234"/>
      <c r="J25" s="1662">
        <f>IF($H$25&lt;&gt;0,H25/$H$25,0)</f>
        <v>1</v>
      </c>
      <c r="K25" s="1628"/>
      <c r="L25" s="1622"/>
    </row>
    <row r="26" spans="1:12" ht="12" customHeight="1" thickTop="1">
      <c r="A26" s="1628"/>
      <c r="B26" s="1663"/>
      <c r="C26" s="1664"/>
      <c r="D26" s="1664"/>
      <c r="E26" s="1664"/>
      <c r="F26" s="1664"/>
      <c r="G26" s="1664"/>
      <c r="H26" s="1664"/>
      <c r="I26" s="1664"/>
      <c r="J26" s="1665"/>
      <c r="K26" s="1628"/>
      <c r="L26" s="1622"/>
    </row>
    <row r="27" spans="1:12" ht="21" customHeight="1">
      <c r="A27" s="1628"/>
      <c r="B27" s="1628"/>
      <c r="C27" s="1628"/>
      <c r="D27" s="1628"/>
      <c r="E27" s="1628"/>
      <c r="F27" s="1628"/>
      <c r="G27" s="1628"/>
      <c r="H27" s="1628"/>
      <c r="I27" s="1628"/>
      <c r="J27" s="1628"/>
      <c r="K27" s="1628"/>
      <c r="L27" s="1622"/>
    </row>
    <row r="28" spans="1:12" ht="12" customHeight="1">
      <c r="A28" s="1628"/>
      <c r="B28" s="656" t="s">
        <v>350</v>
      </c>
      <c r="C28" s="1628"/>
      <c r="D28" s="1666"/>
      <c r="E28" s="195"/>
      <c r="F28" s="195"/>
      <c r="G28" s="195"/>
      <c r="H28" s="195"/>
      <c r="I28" s="195"/>
      <c r="J28" s="195"/>
      <c r="K28" s="1628"/>
      <c r="L28" s="1622"/>
    </row>
    <row r="29" spans="1:12" ht="24" customHeight="1">
      <c r="A29" s="1667"/>
      <c r="B29" s="1667" t="s">
        <v>986</v>
      </c>
      <c r="C29" s="1667"/>
      <c r="D29" s="1668"/>
      <c r="E29" s="195"/>
      <c r="F29" s="195"/>
      <c r="G29" s="195"/>
      <c r="H29" s="195"/>
      <c r="I29" s="195"/>
      <c r="J29" s="195"/>
      <c r="K29" s="1628"/>
      <c r="L29" s="1622"/>
    </row>
    <row r="30" spans="1:12">
      <c r="A30" s="1628"/>
      <c r="B30" s="1669"/>
      <c r="C30" s="1670"/>
      <c r="D30" s="1671"/>
      <c r="E30" s="1672"/>
      <c r="F30" s="1670"/>
      <c r="G30" s="1670"/>
      <c r="H30" s="1673">
        <f>Shana</f>
        <v>2015</v>
      </c>
      <c r="I30" s="1674"/>
      <c r="J30" s="1675">
        <f>ShanaKodemet</f>
        <v>2014</v>
      </c>
      <c r="K30" s="1628"/>
      <c r="L30" s="1622"/>
    </row>
    <row r="31" spans="1:12" ht="7.5" customHeight="1">
      <c r="A31" s="1628"/>
      <c r="B31" s="1641"/>
      <c r="C31" s="1637"/>
      <c r="D31" s="1638"/>
      <c r="E31" s="1676"/>
      <c r="F31" s="1637"/>
      <c r="G31" s="1637"/>
      <c r="H31" s="1676"/>
      <c r="I31" s="1676"/>
      <c r="J31" s="1639"/>
      <c r="K31" s="1628"/>
      <c r="L31" s="1622"/>
    </row>
    <row r="32" spans="1:12" ht="13.65" customHeight="1">
      <c r="A32" s="1628"/>
      <c r="B32" s="1641" t="s">
        <v>987</v>
      </c>
      <c r="C32" s="1637"/>
      <c r="D32" s="1638"/>
      <c r="E32" s="1676"/>
      <c r="F32" s="1637"/>
      <c r="G32" s="1637"/>
      <c r="H32" s="1677">
        <f>$D$25</f>
        <v>319902</v>
      </c>
      <c r="I32" s="1676"/>
      <c r="J32" s="1678">
        <f>H25</f>
        <v>303771</v>
      </c>
      <c r="K32" s="1628"/>
      <c r="L32" s="1622"/>
    </row>
    <row r="33" spans="1:12" ht="13.65" customHeight="1">
      <c r="A33" s="1628"/>
      <c r="B33" s="1648" t="s">
        <v>2264</v>
      </c>
      <c r="C33" s="1637"/>
      <c r="D33" s="1638"/>
      <c r="E33" s="1676"/>
      <c r="F33" s="1637"/>
      <c r="G33" s="1637"/>
      <c r="H33" s="1679">
        <v>-593</v>
      </c>
      <c r="I33" s="1676"/>
      <c r="J33" s="1680">
        <v>-579</v>
      </c>
      <c r="K33" s="1628"/>
      <c r="L33" s="1622"/>
    </row>
    <row r="34" spans="1:12" ht="13.65" customHeight="1">
      <c r="A34" s="1628"/>
      <c r="B34" s="1648" t="s">
        <v>2265</v>
      </c>
      <c r="C34" s="1637"/>
      <c r="D34" s="1638"/>
      <c r="E34" s="1676"/>
      <c r="F34" s="1637"/>
      <c r="G34" s="1637"/>
      <c r="H34" s="1679">
        <v>-1111</v>
      </c>
      <c r="I34" s="1676"/>
      <c r="J34" s="1680">
        <v>-1886</v>
      </c>
      <c r="K34" s="1628"/>
      <c r="L34" s="1622"/>
    </row>
    <row r="35" spans="1:12" ht="13.65" customHeight="1">
      <c r="A35" s="1628"/>
      <c r="B35" s="1648" t="s">
        <v>2266</v>
      </c>
      <c r="C35" s="1637"/>
      <c r="D35" s="1638"/>
      <c r="E35" s="1676"/>
      <c r="F35" s="1637"/>
      <c r="G35" s="1637"/>
      <c r="H35" s="1679">
        <v>-292</v>
      </c>
      <c r="I35" s="1676"/>
      <c r="J35" s="1680">
        <v>-324</v>
      </c>
      <c r="K35" s="1628"/>
      <c r="L35" s="1622"/>
    </row>
    <row r="36" spans="1:12" ht="13.65" customHeight="1">
      <c r="A36" s="1628"/>
      <c r="B36" s="1648" t="s">
        <v>2267</v>
      </c>
      <c r="C36" s="1637"/>
      <c r="D36" s="1638"/>
      <c r="E36" s="1676"/>
      <c r="F36" s="1637"/>
      <c r="G36" s="1637"/>
      <c r="H36" s="1679">
        <v>1447</v>
      </c>
      <c r="I36" s="1676"/>
      <c r="J36" s="1680">
        <v>394</v>
      </c>
      <c r="K36" s="1628"/>
      <c r="L36" s="1622"/>
    </row>
    <row r="37" spans="1:12" ht="13.65" customHeight="1">
      <c r="A37" s="1628"/>
      <c r="B37" s="1648" t="s">
        <v>2268</v>
      </c>
      <c r="C37" s="1637"/>
      <c r="D37" s="1638"/>
      <c r="E37" s="1676"/>
      <c r="F37" s="1637"/>
      <c r="G37" s="1637"/>
      <c r="H37" s="1679">
        <v>431</v>
      </c>
      <c r="I37" s="1676"/>
      <c r="J37" s="1680">
        <v>443</v>
      </c>
      <c r="K37" s="1628"/>
      <c r="L37" s="1622"/>
    </row>
    <row r="38" spans="1:12" ht="13.65" customHeight="1">
      <c r="A38" s="1628"/>
      <c r="B38" s="1648" t="s">
        <v>350</v>
      </c>
      <c r="C38" s="1637"/>
      <c r="D38" s="1638"/>
      <c r="E38" s="1676"/>
      <c r="F38" s="1637"/>
      <c r="G38" s="1637"/>
      <c r="H38" s="1679"/>
      <c r="I38" s="1676"/>
      <c r="J38" s="1680"/>
      <c r="K38" s="1628"/>
      <c r="L38" s="1622"/>
    </row>
    <row r="39" spans="1:12" ht="13.65" customHeight="1">
      <c r="A39" s="1628"/>
      <c r="B39" s="1648" t="s">
        <v>350</v>
      </c>
      <c r="C39" s="1637"/>
      <c r="D39" s="1638"/>
      <c r="E39" s="1676"/>
      <c r="F39" s="1637"/>
      <c r="G39" s="1637"/>
      <c r="H39" s="1679"/>
      <c r="I39" s="1676"/>
      <c r="J39" s="1680"/>
      <c r="K39" s="1628"/>
      <c r="L39" s="1622"/>
    </row>
    <row r="40" spans="1:12" ht="13.65" customHeight="1">
      <c r="A40" s="1628"/>
      <c r="B40" s="1648" t="s">
        <v>350</v>
      </c>
      <c r="C40" s="1637"/>
      <c r="D40" s="1638"/>
      <c r="E40" s="1676"/>
      <c r="F40" s="1637"/>
      <c r="G40" s="1637"/>
      <c r="H40" s="1679"/>
      <c r="I40" s="1676"/>
      <c r="J40" s="1680"/>
      <c r="K40" s="1628"/>
      <c r="L40" s="1622"/>
    </row>
    <row r="41" spans="1:12" ht="13.65" customHeight="1">
      <c r="A41" s="1628"/>
      <c r="B41" s="1648" t="s">
        <v>350</v>
      </c>
      <c r="C41" s="1637"/>
      <c r="D41" s="1638"/>
      <c r="E41" s="1676"/>
      <c r="F41" s="1637"/>
      <c r="G41" s="1637"/>
      <c r="H41" s="1679"/>
      <c r="I41" s="1676"/>
      <c r="J41" s="1680"/>
      <c r="K41" s="1628"/>
      <c r="L41" s="1622"/>
    </row>
    <row r="42" spans="1:12" ht="13.65" customHeight="1">
      <c r="A42" s="1628"/>
      <c r="B42" s="1648" t="s">
        <v>350</v>
      </c>
      <c r="C42" s="1637"/>
      <c r="D42" s="1638"/>
      <c r="E42" s="1676"/>
      <c r="F42" s="1637"/>
      <c r="G42" s="1637"/>
      <c r="H42" s="1679"/>
      <c r="I42" s="1676"/>
      <c r="J42" s="1680"/>
      <c r="K42" s="1628"/>
      <c r="L42" s="1622"/>
    </row>
    <row r="43" spans="1:12" ht="13.65" customHeight="1" thickBot="1">
      <c r="A43" s="1628"/>
      <c r="B43" s="1641" t="s">
        <v>988</v>
      </c>
      <c r="C43" s="1637"/>
      <c r="D43" s="1638"/>
      <c r="E43" s="1676"/>
      <c r="F43" s="1681"/>
      <c r="G43" s="1637"/>
      <c r="H43" s="1682">
        <f>SUM(H32:H42)</f>
        <v>319784</v>
      </c>
      <c r="I43" s="1676"/>
      <c r="J43" s="1683">
        <f>SUM(J32:J42)</f>
        <v>301819</v>
      </c>
      <c r="K43" s="1628"/>
      <c r="L43" s="1622"/>
    </row>
    <row r="44" spans="1:12" ht="15.75" customHeight="1" thickTop="1">
      <c r="A44" s="1628"/>
      <c r="B44" s="1663"/>
      <c r="C44" s="1664"/>
      <c r="D44" s="1684"/>
      <c r="E44" s="1685"/>
      <c r="F44" s="1686"/>
      <c r="G44" s="1686"/>
      <c r="H44" s="1686"/>
      <c r="I44" s="1686"/>
      <c r="J44" s="1687"/>
      <c r="K44" s="1628"/>
      <c r="L44" s="1622"/>
    </row>
    <row r="45" spans="1:12" ht="12" customHeight="1" thickBot="1">
      <c r="A45" s="1628"/>
      <c r="B45" s="1628"/>
      <c r="C45" s="1628"/>
      <c r="D45" s="1628"/>
      <c r="E45" s="1628"/>
      <c r="F45" s="1628"/>
      <c r="G45" s="1628"/>
      <c r="H45" s="1628"/>
      <c r="I45" s="1628"/>
      <c r="J45" s="1628"/>
      <c r="K45" s="1628"/>
      <c r="L45" s="1622"/>
    </row>
    <row r="46" spans="1:12" ht="13.8" thickTop="1">
      <c r="A46" s="1688"/>
      <c r="B46" s="1688"/>
      <c r="C46" s="1688"/>
      <c r="D46" s="1689"/>
      <c r="E46" s="1690"/>
      <c r="F46" s="1688"/>
      <c r="G46" s="1688"/>
      <c r="H46" s="1690"/>
      <c r="I46" s="1690"/>
      <c r="J46" s="1688"/>
      <c r="K46" s="1688"/>
    </row>
    <row r="47" spans="1:12" ht="12" customHeight="1">
      <c r="E47" s="1692"/>
      <c r="H47" s="1692"/>
      <c r="I47" s="1692"/>
    </row>
    <row r="48" spans="1:12">
      <c r="A48" s="1693"/>
      <c r="B48" s="1693"/>
      <c r="E48" s="1692"/>
      <c r="H48" s="1692"/>
      <c r="I48" s="1692"/>
    </row>
    <row r="49" spans="5:9">
      <c r="E49" s="1692"/>
      <c r="H49" s="1692"/>
      <c r="I49" s="1692"/>
    </row>
    <row r="50" spans="5:9">
      <c r="E50" s="1692"/>
      <c r="H50" s="1692"/>
      <c r="I50" s="1692"/>
    </row>
    <row r="51" spans="5:9">
      <c r="E51" s="1692"/>
      <c r="H51" s="1692"/>
      <c r="I51" s="1692"/>
    </row>
    <row r="52" spans="5:9">
      <c r="E52" s="1692"/>
      <c r="H52" s="1692"/>
      <c r="I52" s="1692"/>
    </row>
    <row r="53" spans="5:9">
      <c r="E53" s="1692"/>
      <c r="H53" s="1692"/>
      <c r="I53" s="1692"/>
    </row>
    <row r="54" spans="5:9">
      <c r="E54" s="1692"/>
      <c r="H54" s="1692"/>
      <c r="I54" s="1692"/>
    </row>
    <row r="55" spans="5:9">
      <c r="E55" s="1692"/>
      <c r="H55" s="1692"/>
      <c r="I55" s="1692"/>
    </row>
    <row r="56" spans="5:9">
      <c r="E56" s="1692"/>
      <c r="H56" s="1692"/>
      <c r="I56" s="1692"/>
    </row>
    <row r="57" spans="5:9">
      <c r="E57" s="1692"/>
      <c r="H57" s="1692"/>
      <c r="I57" s="1692"/>
    </row>
    <row r="58" spans="5:9">
      <c r="E58" s="1692"/>
      <c r="H58" s="1692"/>
      <c r="I58" s="1692"/>
    </row>
    <row r="59" spans="5:9">
      <c r="E59" s="1692"/>
      <c r="H59" s="1692"/>
      <c r="I59" s="1692"/>
    </row>
    <row r="60" spans="5:9">
      <c r="E60" s="1692"/>
      <c r="H60" s="1692"/>
      <c r="I60" s="1692"/>
    </row>
    <row r="61" spans="5:9">
      <c r="E61" s="1692"/>
      <c r="H61" s="1692"/>
      <c r="I61" s="1692"/>
    </row>
    <row r="62" spans="5:9">
      <c r="E62" s="1692"/>
      <c r="H62" s="1692"/>
      <c r="I62" s="1692"/>
    </row>
    <row r="63" spans="5:9">
      <c r="E63" s="1692"/>
      <c r="H63" s="1692"/>
      <c r="I63" s="1692"/>
    </row>
    <row r="64" spans="5:9">
      <c r="E64" s="1692"/>
      <c r="H64" s="1692"/>
      <c r="I64" s="1692"/>
    </row>
    <row r="65" spans="5:9">
      <c r="E65" s="1692"/>
      <c r="H65" s="1692"/>
      <c r="I65" s="1692"/>
    </row>
    <row r="66" spans="5:9">
      <c r="E66" s="1692"/>
      <c r="H66" s="1692"/>
      <c r="I66" s="1692"/>
    </row>
    <row r="67" spans="5:9">
      <c r="E67" s="1692"/>
      <c r="H67" s="1692"/>
      <c r="I67" s="1692"/>
    </row>
    <row r="68" spans="5:9">
      <c r="E68" s="1692"/>
      <c r="H68" s="1692"/>
      <c r="I68" s="1692"/>
    </row>
    <row r="69" spans="5:9">
      <c r="E69" s="1692"/>
      <c r="H69" s="1692"/>
      <c r="I69" s="1692"/>
    </row>
    <row r="70" spans="5:9">
      <c r="E70" s="1692"/>
      <c r="H70" s="1692"/>
      <c r="I70" s="1692"/>
    </row>
    <row r="71" spans="5:9">
      <c r="E71" s="1692"/>
      <c r="H71" s="1692"/>
      <c r="I71" s="1692"/>
    </row>
    <row r="72" spans="5:9">
      <c r="E72" s="1692"/>
      <c r="H72" s="1692"/>
      <c r="I72" s="1692"/>
    </row>
    <row r="73" spans="5:9">
      <c r="E73" s="1692"/>
      <c r="H73" s="1692"/>
      <c r="I73" s="1692"/>
    </row>
    <row r="74" spans="5:9">
      <c r="E74" s="1692"/>
      <c r="H74" s="1692"/>
      <c r="I74" s="1692"/>
    </row>
    <row r="75" spans="5:9">
      <c r="E75" s="1692"/>
      <c r="H75" s="1692"/>
      <c r="I75" s="1692"/>
    </row>
    <row r="76" spans="5:9">
      <c r="E76" s="1692"/>
      <c r="H76" s="1692"/>
      <c r="I76" s="1692"/>
    </row>
    <row r="77" spans="5:9">
      <c r="E77" s="1692"/>
      <c r="H77" s="1692"/>
      <c r="I77" s="1692"/>
    </row>
    <row r="78" spans="5:9">
      <c r="E78" s="1692"/>
      <c r="H78" s="1692"/>
      <c r="I78" s="1692"/>
    </row>
    <row r="79" spans="5:9">
      <c r="E79" s="1692"/>
      <c r="H79" s="1692"/>
      <c r="I79" s="1692"/>
    </row>
    <row r="80" spans="5:9">
      <c r="E80" s="1692"/>
      <c r="H80" s="1692"/>
      <c r="I80" s="1692"/>
    </row>
    <row r="81" spans="5:9">
      <c r="E81" s="1692"/>
      <c r="H81" s="1692"/>
      <c r="I81" s="1692"/>
    </row>
    <row r="82" spans="5:9">
      <c r="E82" s="1692"/>
      <c r="H82" s="1692"/>
      <c r="I82" s="1692"/>
    </row>
    <row r="83" spans="5:9">
      <c r="E83" s="1692"/>
      <c r="H83" s="1692"/>
      <c r="I83" s="1692"/>
    </row>
    <row r="84" spans="5:9">
      <c r="E84" s="1692"/>
      <c r="H84" s="1692"/>
      <c r="I84" s="1692"/>
    </row>
    <row r="85" spans="5:9">
      <c r="E85" s="1692"/>
      <c r="H85" s="1692"/>
      <c r="I85" s="1692"/>
    </row>
    <row r="86" spans="5:9">
      <c r="E86" s="1692"/>
      <c r="H86" s="1692"/>
      <c r="I86" s="1692"/>
    </row>
    <row r="87" spans="5:9">
      <c r="E87" s="1692"/>
      <c r="H87" s="1692"/>
      <c r="I87" s="1692"/>
    </row>
    <row r="88" spans="5:9">
      <c r="E88" s="1692"/>
      <c r="H88" s="1692"/>
      <c r="I88" s="1692"/>
    </row>
    <row r="89" spans="5:9">
      <c r="E89" s="1692"/>
      <c r="H89" s="1692"/>
      <c r="I89" s="1692"/>
    </row>
    <row r="90" spans="5:9">
      <c r="E90" s="1692"/>
      <c r="H90" s="1692"/>
      <c r="I90" s="1692"/>
    </row>
    <row r="91" spans="5:9">
      <c r="E91" s="1692"/>
      <c r="H91" s="1692"/>
      <c r="I91" s="1692"/>
    </row>
    <row r="92" spans="5:9">
      <c r="E92" s="1692"/>
      <c r="H92" s="1692"/>
      <c r="I92" s="1692"/>
    </row>
    <row r="93" spans="5:9">
      <c r="H93" s="1692"/>
      <c r="I93" s="1692"/>
    </row>
    <row r="94" spans="5:9">
      <c r="H94" s="1692"/>
      <c r="I94" s="1692"/>
    </row>
    <row r="95" spans="5:9">
      <c r="H95" s="1692"/>
      <c r="I95" s="1692"/>
    </row>
    <row r="96" spans="5:9">
      <c r="H96" s="1692"/>
      <c r="I96" s="1692"/>
    </row>
    <row r="97" spans="8:9">
      <c r="H97" s="1692"/>
      <c r="I97" s="1692"/>
    </row>
    <row r="98" spans="8:9">
      <c r="H98" s="1692"/>
      <c r="I98" s="1692"/>
    </row>
    <row r="99" spans="8:9">
      <c r="H99" s="1692"/>
      <c r="I99" s="1692"/>
    </row>
    <row r="100" spans="8:9">
      <c r="H100" s="1692"/>
      <c r="I100" s="1692"/>
    </row>
    <row r="101" spans="8:9">
      <c r="H101" s="1692"/>
      <c r="I101" s="1692"/>
    </row>
    <row r="102" spans="8:9">
      <c r="H102" s="1692"/>
      <c r="I102" s="1692"/>
    </row>
    <row r="103" spans="8:9">
      <c r="H103" s="1692"/>
      <c r="I103" s="1692"/>
    </row>
    <row r="104" spans="8:9">
      <c r="H104" s="1692"/>
      <c r="I104" s="1692"/>
    </row>
    <row r="105" spans="8:9">
      <c r="H105" s="1692"/>
      <c r="I105" s="1692"/>
    </row>
    <row r="106" spans="8:9">
      <c r="H106" s="1692"/>
      <c r="I106" s="1692"/>
    </row>
    <row r="107" spans="8:9">
      <c r="H107" s="1692"/>
      <c r="I107" s="1692"/>
    </row>
    <row r="108" spans="8:9">
      <c r="H108" s="1692"/>
      <c r="I108" s="1692"/>
    </row>
    <row r="109" spans="8:9">
      <c r="H109" s="1692"/>
      <c r="I109" s="1692"/>
    </row>
    <row r="110" spans="8:9">
      <c r="H110" s="1692"/>
      <c r="I110" s="1692"/>
    </row>
    <row r="111" spans="8:9">
      <c r="H111" s="1692"/>
      <c r="I111" s="1692"/>
    </row>
    <row r="112" spans="8:9">
      <c r="H112" s="1692"/>
      <c r="I112" s="1692"/>
    </row>
    <row r="190" spans="2:10" ht="15.6">
      <c r="B190" s="3554" t="str">
        <f>D1</f>
        <v>עירית הרצליה</v>
      </c>
      <c r="C190" s="3554"/>
      <c r="D190" s="3554"/>
      <c r="E190" s="3554"/>
      <c r="F190" s="3554"/>
      <c r="G190" s="3554"/>
      <c r="H190" s="3554"/>
      <c r="I190" s="3554"/>
      <c r="J190" s="3554"/>
    </row>
    <row r="191" spans="2:10" ht="15.6">
      <c r="B191" s="3554" t="str">
        <f>C2</f>
        <v>התפלגות מרכיבי השכר</v>
      </c>
      <c r="C191" s="3554"/>
      <c r="D191" s="3554"/>
      <c r="E191" s="3554"/>
      <c r="F191" s="3554"/>
      <c r="G191" s="3554"/>
      <c r="H191" s="3554"/>
      <c r="I191" s="3554"/>
      <c r="J191" s="3554"/>
    </row>
    <row r="192" spans="2:10" ht="15.6">
      <c r="B192" s="3553" t="str">
        <f>D3</f>
        <v xml:space="preserve">לשנה שנסתיימה ביום 31 בדצמבר 2015 (אלפי ש''ח) </v>
      </c>
      <c r="C192" s="3554"/>
      <c r="D192" s="3554"/>
      <c r="E192" s="3554"/>
      <c r="F192" s="3554"/>
      <c r="G192" s="3554"/>
      <c r="H192" s="3554"/>
      <c r="I192" s="3554"/>
      <c r="J192" s="3554"/>
    </row>
    <row r="196" spans="2:10">
      <c r="B196" s="3555" t="str">
        <f>B5</f>
        <v>סוג תשלום</v>
      </c>
      <c r="C196" s="1695">
        <f>C5</f>
        <v>0</v>
      </c>
      <c r="D196" s="3556">
        <f>D5</f>
        <v>2015</v>
      </c>
      <c r="E196" s="3556"/>
      <c r="F196" s="3556"/>
      <c r="G196" s="1694">
        <f t="shared" ref="G196:H215" si="4">G5</f>
        <v>0</v>
      </c>
      <c r="H196" s="3557">
        <f t="shared" si="4"/>
        <v>2014</v>
      </c>
      <c r="I196" s="3557"/>
      <c r="J196" s="3557"/>
    </row>
    <row r="197" spans="2:10">
      <c r="B197" s="3495"/>
      <c r="C197" s="1695">
        <f t="shared" ref="C197:F219" si="5">C6</f>
        <v>0</v>
      </c>
      <c r="D197" s="1694" t="str">
        <f t="shared" si="5"/>
        <v>ביצוע</v>
      </c>
      <c r="E197" s="1694">
        <f t="shared" si="5"/>
        <v>0</v>
      </c>
      <c r="F197" s="1694" t="str">
        <f t="shared" si="5"/>
        <v>% מסה"כ</v>
      </c>
      <c r="G197" s="1694">
        <f t="shared" si="4"/>
        <v>0</v>
      </c>
      <c r="H197" s="1694" t="str">
        <f t="shared" si="4"/>
        <v>ביצוע</v>
      </c>
      <c r="I197" s="1694">
        <f t="shared" ref="I197:J216" si="6">I6</f>
        <v>0</v>
      </c>
      <c r="J197" s="1694" t="str">
        <f t="shared" si="6"/>
        <v>% מסה"כ</v>
      </c>
    </row>
    <row r="198" spans="2:10">
      <c r="B198" s="1694">
        <f>B7</f>
        <v>0</v>
      </c>
      <c r="C198" s="1695">
        <f t="shared" si="5"/>
        <v>0</v>
      </c>
      <c r="D198" s="1695">
        <f t="shared" si="5"/>
        <v>0</v>
      </c>
      <c r="E198" s="1695">
        <f t="shared" si="5"/>
        <v>0</v>
      </c>
      <c r="F198" s="1695">
        <f t="shared" si="5"/>
        <v>0</v>
      </c>
      <c r="G198" s="1695">
        <f t="shared" si="4"/>
        <v>0</v>
      </c>
      <c r="H198" s="1695">
        <f t="shared" si="4"/>
        <v>0</v>
      </c>
      <c r="I198" s="1695">
        <f t="shared" si="6"/>
        <v>0</v>
      </c>
      <c r="J198" s="1695">
        <f t="shared" si="6"/>
        <v>0</v>
      </c>
    </row>
    <row r="199" spans="2:10">
      <c r="B199" s="1695" t="str">
        <f t="shared" ref="B199:B205" si="7">IF(AND($D8=0,$F8=0,$H8=0,$J8=0),"",$B8)</f>
        <v xml:space="preserve">שכר משולב כולל הפרשי שכר  </v>
      </c>
      <c r="C199" s="1695">
        <f t="shared" si="5"/>
        <v>0</v>
      </c>
      <c r="D199" s="1696">
        <f t="shared" si="5"/>
        <v>161385</v>
      </c>
      <c r="E199" s="1697">
        <f t="shared" si="5"/>
        <v>0</v>
      </c>
      <c r="F199" s="1439">
        <f t="shared" si="5"/>
        <v>0.50448262280323353</v>
      </c>
      <c r="G199" s="1697">
        <f t="shared" si="4"/>
        <v>0</v>
      </c>
      <c r="H199" s="1696">
        <f t="shared" si="4"/>
        <v>156014</v>
      </c>
      <c r="I199" s="1697">
        <f t="shared" si="6"/>
        <v>0</v>
      </c>
      <c r="J199" s="1439">
        <f t="shared" si="6"/>
        <v>0.51359082993439131</v>
      </c>
    </row>
    <row r="200" spans="2:10">
      <c r="B200" s="1695" t="str">
        <f t="shared" si="7"/>
        <v>שעות נוספות  - רשומות</v>
      </c>
      <c r="C200" s="1695">
        <f t="shared" si="5"/>
        <v>0</v>
      </c>
      <c r="D200" s="1696">
        <f t="shared" si="5"/>
        <v>8595</v>
      </c>
      <c r="E200" s="1697">
        <f t="shared" si="5"/>
        <v>0</v>
      </c>
      <c r="F200" s="1439">
        <f t="shared" si="5"/>
        <v>2.6867603203481066E-2</v>
      </c>
      <c r="G200" s="1697">
        <f t="shared" si="4"/>
        <v>0</v>
      </c>
      <c r="H200" s="1696">
        <f t="shared" si="4"/>
        <v>8071</v>
      </c>
      <c r="I200" s="1697">
        <f t="shared" si="6"/>
        <v>0</v>
      </c>
      <c r="J200" s="1439">
        <f t="shared" si="6"/>
        <v>2.6569356521853632E-2</v>
      </c>
    </row>
    <row r="201" spans="2:10">
      <c r="B201" s="1695" t="str">
        <f t="shared" si="7"/>
        <v>פיצויי פיטורין</v>
      </c>
      <c r="C201" s="1695">
        <f t="shared" si="5"/>
        <v>0</v>
      </c>
      <c r="D201" s="1696">
        <f t="shared" si="5"/>
        <v>5467</v>
      </c>
      <c r="E201" s="1697">
        <f t="shared" si="5"/>
        <v>0</v>
      </c>
      <c r="F201" s="1439">
        <f t="shared" si="5"/>
        <v>1.7089608692662128E-2</v>
      </c>
      <c r="G201" s="1697">
        <f t="shared" si="4"/>
        <v>0</v>
      </c>
      <c r="H201" s="1696">
        <f t="shared" si="4"/>
        <v>4404</v>
      </c>
      <c r="I201" s="1697">
        <f t="shared" si="6"/>
        <v>0</v>
      </c>
      <c r="J201" s="1439">
        <f t="shared" si="6"/>
        <v>1.4497763117611622E-2</v>
      </c>
    </row>
    <row r="202" spans="2:10">
      <c r="B202" s="1695" t="str">
        <f t="shared" si="7"/>
        <v>אחזקת רכב</v>
      </c>
      <c r="C202" s="1695">
        <f t="shared" si="5"/>
        <v>0</v>
      </c>
      <c r="D202" s="1696">
        <f t="shared" si="5"/>
        <v>13035</v>
      </c>
      <c r="E202" s="1697">
        <f t="shared" si="5"/>
        <v>0</v>
      </c>
      <c r="F202" s="1439">
        <f t="shared" si="5"/>
        <v>4.074685372395296E-2</v>
      </c>
      <c r="G202" s="1697">
        <f t="shared" si="4"/>
        <v>0</v>
      </c>
      <c r="H202" s="1696">
        <f t="shared" si="4"/>
        <v>12370</v>
      </c>
      <c r="I202" s="1697">
        <f t="shared" si="6"/>
        <v>0</v>
      </c>
      <c r="J202" s="1439">
        <f t="shared" si="6"/>
        <v>4.072146452426334E-2</v>
      </c>
    </row>
    <row r="203" spans="2:10">
      <c r="B203" s="1695" t="str">
        <f t="shared" si="7"/>
        <v>תשלומי פנסיה</v>
      </c>
      <c r="C203" s="1695">
        <f t="shared" si="5"/>
        <v>0</v>
      </c>
      <c r="D203" s="1696">
        <f t="shared" si="5"/>
        <v>42319</v>
      </c>
      <c r="E203" s="1697">
        <f t="shared" si="5"/>
        <v>0</v>
      </c>
      <c r="F203" s="1439">
        <f t="shared" si="5"/>
        <v>0.13228738801257886</v>
      </c>
      <c r="G203" s="1697">
        <f t="shared" si="4"/>
        <v>0</v>
      </c>
      <c r="H203" s="1696">
        <f t="shared" si="4"/>
        <v>40580</v>
      </c>
      <c r="I203" s="1697">
        <f t="shared" si="6"/>
        <v>0</v>
      </c>
      <c r="J203" s="1439">
        <f t="shared" si="6"/>
        <v>0.13358747214184369</v>
      </c>
    </row>
    <row r="204" spans="2:10">
      <c r="B204" s="1695" t="str">
        <f t="shared" si="7"/>
        <v>אש"ל</v>
      </c>
      <c r="C204" s="1695">
        <f t="shared" si="5"/>
        <v>0</v>
      </c>
      <c r="D204" s="1696">
        <f t="shared" si="5"/>
        <v>1493</v>
      </c>
      <c r="E204" s="1697">
        <f t="shared" si="5"/>
        <v>0</v>
      </c>
      <c r="F204" s="1439">
        <f t="shared" si="5"/>
        <v>4.6670542853748959E-3</v>
      </c>
      <c r="G204" s="1697">
        <f t="shared" si="4"/>
        <v>0</v>
      </c>
      <c r="H204" s="1696">
        <f t="shared" si="4"/>
        <v>1607</v>
      </c>
      <c r="I204" s="1697">
        <f t="shared" si="6"/>
        <v>0</v>
      </c>
      <c r="J204" s="1439">
        <f t="shared" si="6"/>
        <v>5.2901692393283097E-3</v>
      </c>
    </row>
    <row r="205" spans="2:10" ht="24.75" customHeight="1">
      <c r="B205" s="1698" t="str">
        <f t="shared" si="7"/>
        <v>תשלומים שונים - הבראה, ביגוד, טלפון, קצובת נסיעה ועוד</v>
      </c>
      <c r="C205" s="1695">
        <f t="shared" si="5"/>
        <v>0</v>
      </c>
      <c r="D205" s="1696">
        <f t="shared" si="5"/>
        <v>25111</v>
      </c>
      <c r="E205" s="1697">
        <f t="shared" si="5"/>
        <v>0</v>
      </c>
      <c r="F205" s="1439">
        <f t="shared" si="5"/>
        <v>7.8495914373776968E-2</v>
      </c>
      <c r="G205" s="1697">
        <f t="shared" si="4"/>
        <v>0</v>
      </c>
      <c r="H205" s="1696">
        <f t="shared" si="4"/>
        <v>22101</v>
      </c>
      <c r="I205" s="1697">
        <f t="shared" si="6"/>
        <v>0</v>
      </c>
      <c r="J205" s="1439">
        <f t="shared" si="6"/>
        <v>7.2755463819785302E-2</v>
      </c>
    </row>
    <row r="206" spans="2:10">
      <c r="B206" s="1695" t="str">
        <f>IF(AND($B15&lt;&gt;"(***)",OR($D15&lt;&gt;0,$F15&lt;&gt;0,$H15&lt;&gt;0,$J15&lt;&gt;0)),$B15,"")</f>
        <v/>
      </c>
      <c r="C206" s="1695">
        <f t="shared" si="5"/>
        <v>0</v>
      </c>
      <c r="D206" s="1699">
        <f t="shared" si="5"/>
        <v>0</v>
      </c>
      <c r="E206" s="1697">
        <f t="shared" si="5"/>
        <v>0</v>
      </c>
      <c r="F206" s="1700">
        <f t="shared" si="5"/>
        <v>0</v>
      </c>
      <c r="G206" s="1697">
        <f t="shared" si="4"/>
        <v>0</v>
      </c>
      <c r="H206" s="1699">
        <f t="shared" si="4"/>
        <v>0</v>
      </c>
      <c r="I206" s="1697">
        <f t="shared" si="6"/>
        <v>0</v>
      </c>
      <c r="J206" s="1700">
        <f t="shared" si="6"/>
        <v>0</v>
      </c>
    </row>
    <row r="207" spans="2:10">
      <c r="B207" s="1695" t="str">
        <f>IF(AND($D16=0,$F16=0,$H16=0,$J16=0),"",$B16)</f>
        <v>סה"כ שכר ותשלומים</v>
      </c>
      <c r="C207" s="1695">
        <f t="shared" si="5"/>
        <v>0</v>
      </c>
      <c r="D207" s="1701">
        <f t="shared" si="5"/>
        <v>257405</v>
      </c>
      <c r="E207" s="1697">
        <f t="shared" si="5"/>
        <v>0</v>
      </c>
      <c r="F207" s="1702">
        <f t="shared" si="5"/>
        <v>0.8046370450950604</v>
      </c>
      <c r="G207" s="1697">
        <f t="shared" si="4"/>
        <v>0</v>
      </c>
      <c r="H207" s="1701">
        <f t="shared" si="4"/>
        <v>245147</v>
      </c>
      <c r="I207" s="1697">
        <f t="shared" si="6"/>
        <v>0</v>
      </c>
      <c r="J207" s="1702">
        <f t="shared" si="6"/>
        <v>0.80701251929907725</v>
      </c>
    </row>
    <row r="208" spans="2:10">
      <c r="B208" s="1694">
        <f>B17</f>
        <v>0</v>
      </c>
      <c r="C208" s="1695">
        <f t="shared" si="5"/>
        <v>0</v>
      </c>
      <c r="D208" s="1696">
        <f t="shared" si="5"/>
        <v>0</v>
      </c>
      <c r="E208" s="1697">
        <f t="shared" si="5"/>
        <v>0</v>
      </c>
      <c r="F208" s="1703">
        <f t="shared" si="5"/>
        <v>0</v>
      </c>
      <c r="G208" s="1697">
        <f t="shared" si="4"/>
        <v>0</v>
      </c>
      <c r="H208" s="1696">
        <f t="shared" si="4"/>
        <v>0</v>
      </c>
      <c r="I208" s="1697">
        <f t="shared" si="6"/>
        <v>0</v>
      </c>
      <c r="J208" s="1703">
        <f t="shared" si="6"/>
        <v>0</v>
      </c>
    </row>
    <row r="209" spans="2:10">
      <c r="B209" s="1695" t="str">
        <f>IF(AND($D18=0,$F18=0,$H18=0,$J18=0),"",$B18)</f>
        <v>תשלומי ביטוח לאומי מעביד</v>
      </c>
      <c r="C209" s="1695">
        <f t="shared" si="5"/>
        <v>0</v>
      </c>
      <c r="D209" s="1696">
        <f t="shared" si="5"/>
        <v>10653</v>
      </c>
      <c r="E209" s="1697">
        <f t="shared" si="5"/>
        <v>0</v>
      </c>
      <c r="F209" s="1439">
        <f t="shared" si="5"/>
        <v>3.3300823377159255E-2</v>
      </c>
      <c r="G209" s="1697">
        <f t="shared" si="4"/>
        <v>0</v>
      </c>
      <c r="H209" s="1696">
        <f t="shared" si="4"/>
        <v>9822</v>
      </c>
      <c r="I209" s="1697">
        <f t="shared" si="6"/>
        <v>0</v>
      </c>
      <c r="J209" s="1439">
        <f t="shared" si="6"/>
        <v>3.2333567062030277E-2</v>
      </c>
    </row>
    <row r="210" spans="2:10">
      <c r="B210" s="1695" t="str">
        <f>IF(AND($D19=0,$F19=0,$H19=0,$J19=0),"",$B19)</f>
        <v>קופת גמל מעביד, קרן השתלמות</v>
      </c>
      <c r="C210" s="1695">
        <f t="shared" si="5"/>
        <v>0</v>
      </c>
      <c r="D210" s="1696">
        <f t="shared" si="5"/>
        <v>33118</v>
      </c>
      <c r="E210" s="1697">
        <f t="shared" si="5"/>
        <v>0</v>
      </c>
      <c r="F210" s="1439">
        <f t="shared" si="5"/>
        <v>0.10352545467049284</v>
      </c>
      <c r="G210" s="1697">
        <f t="shared" si="4"/>
        <v>0</v>
      </c>
      <c r="H210" s="1696">
        <f t="shared" si="4"/>
        <v>30944</v>
      </c>
      <c r="I210" s="1697">
        <f t="shared" si="6"/>
        <v>0</v>
      </c>
      <c r="J210" s="1439">
        <f t="shared" si="6"/>
        <v>0.10186620842674252</v>
      </c>
    </row>
    <row r="211" spans="2:10">
      <c r="B211" s="1695" t="str">
        <f>IF(AND($D20=0,$F20=0,$H20=0,$J20=0),"",$B20)</f>
        <v>מס שכר ומס מעסיקים</v>
      </c>
      <c r="C211" s="1695">
        <f t="shared" si="5"/>
        <v>0</v>
      </c>
      <c r="D211" s="1696">
        <f t="shared" si="5"/>
        <v>18726</v>
      </c>
      <c r="E211" s="1697">
        <f t="shared" si="5"/>
        <v>0</v>
      </c>
      <c r="F211" s="1439">
        <f t="shared" si="5"/>
        <v>5.8536676857287542E-2</v>
      </c>
      <c r="G211" s="1697">
        <f t="shared" si="4"/>
        <v>0</v>
      </c>
      <c r="H211" s="1696">
        <f t="shared" si="4"/>
        <v>17858</v>
      </c>
      <c r="I211" s="1697">
        <f t="shared" si="6"/>
        <v>0</v>
      </c>
      <c r="J211" s="1439">
        <f t="shared" si="6"/>
        <v>5.8787705212149939E-2</v>
      </c>
    </row>
    <row r="212" spans="2:10">
      <c r="B212" s="1695" t="str">
        <f>IF(AND($D21=0,$F21=0,$H21=0,$J21=0),"",$B21)</f>
        <v/>
      </c>
      <c r="C212" s="1695">
        <f t="shared" si="5"/>
        <v>0</v>
      </c>
      <c r="D212" s="1696">
        <f t="shared" si="5"/>
        <v>0</v>
      </c>
      <c r="E212" s="1697">
        <f t="shared" si="5"/>
        <v>0</v>
      </c>
      <c r="F212" s="1439">
        <f t="shared" si="5"/>
        <v>0</v>
      </c>
      <c r="G212" s="1697">
        <f t="shared" si="4"/>
        <v>0</v>
      </c>
      <c r="H212" s="1696">
        <f t="shared" si="4"/>
        <v>0</v>
      </c>
      <c r="I212" s="1697">
        <f t="shared" si="6"/>
        <v>0</v>
      </c>
      <c r="J212" s="1439">
        <f t="shared" si="6"/>
        <v>0</v>
      </c>
    </row>
    <row r="213" spans="2:10">
      <c r="B213" s="1695" t="str">
        <f>IF(AND($B22&lt;&gt;"(***)",OR($D22&lt;&gt;0,$F22&lt;&gt;0,$H22&lt;&gt;0,$J22&lt;&gt;0)),$B22,"")</f>
        <v/>
      </c>
      <c r="C213" s="1695">
        <f t="shared" si="5"/>
        <v>0</v>
      </c>
      <c r="D213" s="1699">
        <f t="shared" si="5"/>
        <v>0</v>
      </c>
      <c r="E213" s="1697">
        <f t="shared" si="5"/>
        <v>0</v>
      </c>
      <c r="F213" s="1700">
        <f t="shared" si="5"/>
        <v>0</v>
      </c>
      <c r="G213" s="1697">
        <f t="shared" si="4"/>
        <v>0</v>
      </c>
      <c r="H213" s="1699">
        <f t="shared" si="4"/>
        <v>0</v>
      </c>
      <c r="I213" s="1697">
        <f t="shared" si="6"/>
        <v>0</v>
      </c>
      <c r="J213" s="1700">
        <f t="shared" si="6"/>
        <v>0</v>
      </c>
    </row>
    <row r="214" spans="2:10">
      <c r="B214" s="1695" t="str">
        <f>IF(AND($D23=0,$F23=0,$H23=0,$J23=0),"",$B23)</f>
        <v>סה"כ נלוות</v>
      </c>
      <c r="C214" s="1695">
        <f t="shared" si="5"/>
        <v>0</v>
      </c>
      <c r="D214" s="1701">
        <f t="shared" si="5"/>
        <v>62497</v>
      </c>
      <c r="E214" s="1697">
        <f t="shared" si="5"/>
        <v>0</v>
      </c>
      <c r="F214" s="1702">
        <f t="shared" si="5"/>
        <v>0.19536295490493963</v>
      </c>
      <c r="G214" s="1697">
        <f t="shared" si="4"/>
        <v>0</v>
      </c>
      <c r="H214" s="1701">
        <f t="shared" si="4"/>
        <v>58624</v>
      </c>
      <c r="I214" s="1697">
        <f t="shared" si="6"/>
        <v>0</v>
      </c>
      <c r="J214" s="1702">
        <f t="shared" si="6"/>
        <v>0.19298748070092273</v>
      </c>
    </row>
    <row r="215" spans="2:10">
      <c r="B215" s="1695">
        <f>B24</f>
        <v>0</v>
      </c>
      <c r="C215" s="1695">
        <f t="shared" si="5"/>
        <v>0</v>
      </c>
      <c r="D215" s="1696">
        <f t="shared" si="5"/>
        <v>0</v>
      </c>
      <c r="E215" s="1697">
        <f t="shared" si="5"/>
        <v>0</v>
      </c>
      <c r="F215" s="1703">
        <f t="shared" si="5"/>
        <v>0</v>
      </c>
      <c r="G215" s="1697">
        <f t="shared" si="4"/>
        <v>0</v>
      </c>
      <c r="H215" s="1696">
        <f t="shared" si="4"/>
        <v>0</v>
      </c>
      <c r="I215" s="1697">
        <f t="shared" si="6"/>
        <v>0</v>
      </c>
      <c r="J215" s="1703">
        <f t="shared" si="6"/>
        <v>0</v>
      </c>
    </row>
    <row r="216" spans="2:10" ht="13.8" thickBot="1">
      <c r="B216" s="1695" t="str">
        <f>IF(AND($D25=0,$F25=0,$H25=0,$J25=0),"",$B25)</f>
        <v>סה"כ כללי</v>
      </c>
      <c r="C216" s="1695">
        <f t="shared" si="5"/>
        <v>0</v>
      </c>
      <c r="D216" s="1704">
        <f t="shared" si="5"/>
        <v>319902</v>
      </c>
      <c r="E216" s="1697">
        <f t="shared" si="5"/>
        <v>0</v>
      </c>
      <c r="F216" s="1444">
        <f t="shared" si="5"/>
        <v>1</v>
      </c>
      <c r="G216" s="1697">
        <f t="shared" ref="G216:H234" si="8">G25</f>
        <v>0</v>
      </c>
      <c r="H216" s="1704">
        <f t="shared" si="8"/>
        <v>303771</v>
      </c>
      <c r="I216" s="1697">
        <f t="shared" si="6"/>
        <v>0</v>
      </c>
      <c r="J216" s="1444">
        <f t="shared" si="6"/>
        <v>1</v>
      </c>
    </row>
    <row r="217" spans="2:10" ht="13.8" thickTop="1">
      <c r="B217" s="1695">
        <f t="shared" ref="B217:B223" si="9">B26</f>
        <v>0</v>
      </c>
      <c r="C217" s="1695">
        <f t="shared" si="5"/>
        <v>0</v>
      </c>
      <c r="D217" s="1695">
        <f t="shared" si="5"/>
        <v>0</v>
      </c>
      <c r="E217" s="1695">
        <f t="shared" si="5"/>
        <v>0</v>
      </c>
      <c r="F217" s="1695">
        <f t="shared" si="5"/>
        <v>0</v>
      </c>
      <c r="G217" s="1695">
        <f t="shared" si="8"/>
        <v>0</v>
      </c>
      <c r="H217" s="1695">
        <f t="shared" si="8"/>
        <v>0</v>
      </c>
      <c r="I217" s="1695">
        <f t="shared" ref="I217:J234" si="10">I26</f>
        <v>0</v>
      </c>
      <c r="J217" s="1695">
        <f t="shared" si="10"/>
        <v>0</v>
      </c>
    </row>
    <row r="218" spans="2:10">
      <c r="B218" s="1705">
        <f t="shared" si="9"/>
        <v>0</v>
      </c>
      <c r="C218" s="1705">
        <f t="shared" si="5"/>
        <v>0</v>
      </c>
      <c r="D218" s="1705">
        <f t="shared" si="5"/>
        <v>0</v>
      </c>
      <c r="E218" s="1705">
        <f t="shared" si="5"/>
        <v>0</v>
      </c>
      <c r="F218" s="1705">
        <f t="shared" si="5"/>
        <v>0</v>
      </c>
      <c r="G218" s="1705">
        <f t="shared" si="8"/>
        <v>0</v>
      </c>
      <c r="H218" s="1705">
        <f t="shared" si="8"/>
        <v>0</v>
      </c>
      <c r="I218" s="1705">
        <f t="shared" si="10"/>
        <v>0</v>
      </c>
      <c r="J218" s="1705">
        <f t="shared" si="10"/>
        <v>0</v>
      </c>
    </row>
    <row r="219" spans="2:10">
      <c r="B219" s="1705">
        <f>IF(B28&lt;&gt;"(***)", B28,0)</f>
        <v>0</v>
      </c>
      <c r="C219" s="1705">
        <f t="shared" si="5"/>
        <v>0</v>
      </c>
      <c r="D219" s="1706">
        <f t="shared" si="5"/>
        <v>0</v>
      </c>
      <c r="E219" s="1706">
        <f t="shared" si="5"/>
        <v>0</v>
      </c>
      <c r="F219" s="1706">
        <f t="shared" si="5"/>
        <v>0</v>
      </c>
      <c r="G219" s="1706">
        <f t="shared" si="8"/>
        <v>0</v>
      </c>
      <c r="H219" s="1706">
        <f t="shared" si="8"/>
        <v>0</v>
      </c>
      <c r="I219" s="1706">
        <f t="shared" si="10"/>
        <v>0</v>
      </c>
      <c r="J219" s="1706">
        <f t="shared" si="10"/>
        <v>0</v>
      </c>
    </row>
    <row r="220" spans="2:10">
      <c r="B220" s="1707" t="str">
        <f t="shared" si="9"/>
        <v xml:space="preserve">התאמה בין הוצאות השכר הנ"ל לבין הוצאות השכר בנספח 1 לטופס 2 </v>
      </c>
      <c r="C220" s="1707"/>
      <c r="D220" s="1707"/>
      <c r="E220" s="1707"/>
      <c r="F220" s="1707"/>
      <c r="G220" s="1706">
        <f t="shared" si="8"/>
        <v>0</v>
      </c>
      <c r="H220" s="1706">
        <f t="shared" si="8"/>
        <v>0</v>
      </c>
      <c r="I220" s="1706">
        <f t="shared" si="10"/>
        <v>0</v>
      </c>
      <c r="J220" s="1706">
        <f t="shared" si="10"/>
        <v>0</v>
      </c>
    </row>
    <row r="221" spans="2:10">
      <c r="B221" s="1695">
        <f t="shared" si="9"/>
        <v>0</v>
      </c>
      <c r="C221" s="1695">
        <f t="shared" ref="C221:F234" si="11">C30</f>
        <v>0</v>
      </c>
      <c r="D221" s="1695">
        <f t="shared" si="11"/>
        <v>0</v>
      </c>
      <c r="E221" s="1708">
        <f t="shared" si="11"/>
        <v>0</v>
      </c>
      <c r="F221" s="1695">
        <f t="shared" si="11"/>
        <v>0</v>
      </c>
      <c r="G221" s="1695">
        <f t="shared" si="8"/>
        <v>0</v>
      </c>
      <c r="H221" s="1709">
        <f t="shared" si="8"/>
        <v>2015</v>
      </c>
      <c r="I221" s="1709">
        <f t="shared" si="10"/>
        <v>0</v>
      </c>
      <c r="J221" s="1709">
        <f t="shared" si="10"/>
        <v>2014</v>
      </c>
    </row>
    <row r="222" spans="2:10">
      <c r="B222" s="1695">
        <f t="shared" si="9"/>
        <v>0</v>
      </c>
      <c r="C222" s="1695">
        <f t="shared" si="11"/>
        <v>0</v>
      </c>
      <c r="D222" s="1695">
        <f t="shared" si="11"/>
        <v>0</v>
      </c>
      <c r="E222" s="1708">
        <f t="shared" si="11"/>
        <v>0</v>
      </c>
      <c r="F222" s="1695">
        <f t="shared" si="11"/>
        <v>0</v>
      </c>
      <c r="G222" s="1695">
        <f t="shared" si="8"/>
        <v>0</v>
      </c>
      <c r="H222" s="1708">
        <f t="shared" si="8"/>
        <v>0</v>
      </c>
      <c r="I222" s="1708">
        <f t="shared" si="10"/>
        <v>0</v>
      </c>
      <c r="J222" s="1695">
        <f t="shared" si="10"/>
        <v>0</v>
      </c>
    </row>
    <row r="223" spans="2:10">
      <c r="B223" s="1695" t="str">
        <f t="shared" si="9"/>
        <v xml:space="preserve">סה"כ שכר ומשכורות לפי דוחות 66 החודשיים - </v>
      </c>
      <c r="C223" s="1695">
        <f t="shared" si="11"/>
        <v>0</v>
      </c>
      <c r="D223" s="1695">
        <f t="shared" si="11"/>
        <v>0</v>
      </c>
      <c r="E223" s="1708">
        <f t="shared" si="11"/>
        <v>0</v>
      </c>
      <c r="F223" s="1695">
        <f t="shared" si="11"/>
        <v>0</v>
      </c>
      <c r="G223" s="1695">
        <f t="shared" si="8"/>
        <v>0</v>
      </c>
      <c r="H223" s="1708">
        <f t="shared" si="8"/>
        <v>319902</v>
      </c>
      <c r="I223" s="1708">
        <f t="shared" si="10"/>
        <v>0</v>
      </c>
      <c r="J223" s="1708">
        <f t="shared" si="10"/>
        <v>303771</v>
      </c>
    </row>
    <row r="224" spans="2:10">
      <c r="B224" s="1695" t="str">
        <f t="shared" ref="B224:B234" si="12">IF(AND($B33&lt;&gt;"(***)",OR($H33&lt;&gt;0,$J33&lt;&gt;0)),$B33,"")</f>
        <v>השתתפות בפנסיה</v>
      </c>
      <c r="C224" s="1695">
        <f t="shared" si="11"/>
        <v>0</v>
      </c>
      <c r="D224" s="1695">
        <f t="shared" si="11"/>
        <v>0</v>
      </c>
      <c r="E224" s="1708">
        <f t="shared" si="11"/>
        <v>0</v>
      </c>
      <c r="F224" s="1695">
        <f t="shared" si="11"/>
        <v>0</v>
      </c>
      <c r="G224" s="1695">
        <f t="shared" si="8"/>
        <v>0</v>
      </c>
      <c r="H224" s="1708">
        <f t="shared" si="8"/>
        <v>-593</v>
      </c>
      <c r="I224" s="1708">
        <f t="shared" si="10"/>
        <v>0</v>
      </c>
      <c r="J224" s="1708">
        <f t="shared" si="10"/>
        <v>-579</v>
      </c>
    </row>
    <row r="225" spans="2:10">
      <c r="B225" s="1695" t="str">
        <f t="shared" si="12"/>
        <v>זיכויים שונים בסעיפי שכר</v>
      </c>
      <c r="C225" s="1695">
        <f t="shared" si="11"/>
        <v>0</v>
      </c>
      <c r="D225" s="1695">
        <f t="shared" si="11"/>
        <v>0</v>
      </c>
      <c r="E225" s="1708">
        <f t="shared" si="11"/>
        <v>0</v>
      </c>
      <c r="F225" s="1695">
        <f t="shared" si="11"/>
        <v>0</v>
      </c>
      <c r="G225" s="1695">
        <f t="shared" si="8"/>
        <v>0</v>
      </c>
      <c r="H225" s="1708">
        <f t="shared" si="8"/>
        <v>-1111</v>
      </c>
      <c r="I225" s="1708">
        <f t="shared" si="10"/>
        <v>0</v>
      </c>
      <c r="J225" s="1708">
        <f t="shared" si="10"/>
        <v>-1886</v>
      </c>
    </row>
    <row r="226" spans="2:10">
      <c r="B226" s="1695" t="str">
        <f t="shared" si="12"/>
        <v xml:space="preserve">עלויות שכר מתקציבי פעולה </v>
      </c>
      <c r="C226" s="1695">
        <f t="shared" si="11"/>
        <v>0</v>
      </c>
      <c r="D226" s="1695">
        <f t="shared" si="11"/>
        <v>0</v>
      </c>
      <c r="E226" s="1708">
        <f t="shared" si="11"/>
        <v>0</v>
      </c>
      <c r="F226" s="1695">
        <f t="shared" si="11"/>
        <v>0</v>
      </c>
      <c r="G226" s="1695">
        <f t="shared" si="8"/>
        <v>0</v>
      </c>
      <c r="H226" s="1708">
        <f t="shared" si="8"/>
        <v>-292</v>
      </c>
      <c r="I226" s="1708">
        <f t="shared" si="10"/>
        <v>0</v>
      </c>
      <c r="J226" s="1708">
        <f t="shared" si="10"/>
        <v>-324</v>
      </c>
    </row>
    <row r="227" spans="2:10">
      <c r="B227" s="1695" t="str">
        <f t="shared" si="12"/>
        <v xml:space="preserve">הפרשים אחרים וזיכויים אחרים שלא מקבלים ביטוי בדוחות </v>
      </c>
      <c r="C227" s="1695">
        <f t="shared" si="11"/>
        <v>0</v>
      </c>
      <c r="D227" s="1695">
        <f t="shared" si="11"/>
        <v>0</v>
      </c>
      <c r="E227" s="1708">
        <f t="shared" si="11"/>
        <v>0</v>
      </c>
      <c r="F227" s="1695">
        <f t="shared" si="11"/>
        <v>0</v>
      </c>
      <c r="G227" s="1695">
        <f t="shared" si="8"/>
        <v>0</v>
      </c>
      <c r="H227" s="1708">
        <f t="shared" si="8"/>
        <v>1447</v>
      </c>
      <c r="I227" s="1708">
        <f t="shared" si="10"/>
        <v>0</v>
      </c>
      <c r="J227" s="1708">
        <f t="shared" si="10"/>
        <v>394</v>
      </c>
    </row>
    <row r="228" spans="2:10">
      <c r="B228" s="1695" t="str">
        <f t="shared" si="12"/>
        <v xml:space="preserve">הוצאות שכר שנרשמו כפעולות בסעיפים אחרים </v>
      </c>
      <c r="C228" s="1695">
        <f t="shared" si="11"/>
        <v>0</v>
      </c>
      <c r="D228" s="1695">
        <f t="shared" si="11"/>
        <v>0</v>
      </c>
      <c r="E228" s="1708">
        <f t="shared" si="11"/>
        <v>0</v>
      </c>
      <c r="F228" s="1695">
        <f t="shared" si="11"/>
        <v>0</v>
      </c>
      <c r="G228" s="1695">
        <f t="shared" si="8"/>
        <v>0</v>
      </c>
      <c r="H228" s="1708">
        <f t="shared" si="8"/>
        <v>431</v>
      </c>
      <c r="I228" s="1708">
        <f t="shared" si="10"/>
        <v>0</v>
      </c>
      <c r="J228" s="1708">
        <f t="shared" si="10"/>
        <v>443</v>
      </c>
    </row>
    <row r="229" spans="2:10">
      <c r="B229" s="1695" t="str">
        <f t="shared" si="12"/>
        <v/>
      </c>
      <c r="C229" s="1695">
        <f t="shared" si="11"/>
        <v>0</v>
      </c>
      <c r="D229" s="1695">
        <f t="shared" si="11"/>
        <v>0</v>
      </c>
      <c r="E229" s="1708">
        <f t="shared" si="11"/>
        <v>0</v>
      </c>
      <c r="F229" s="1695">
        <f t="shared" si="11"/>
        <v>0</v>
      </c>
      <c r="G229" s="1695">
        <f t="shared" si="8"/>
        <v>0</v>
      </c>
      <c r="H229" s="1708">
        <f t="shared" si="8"/>
        <v>0</v>
      </c>
      <c r="I229" s="1708">
        <f t="shared" si="10"/>
        <v>0</v>
      </c>
      <c r="J229" s="1708">
        <f t="shared" si="10"/>
        <v>0</v>
      </c>
    </row>
    <row r="230" spans="2:10">
      <c r="B230" s="1695" t="str">
        <f t="shared" si="12"/>
        <v/>
      </c>
      <c r="C230" s="1695">
        <f t="shared" si="11"/>
        <v>0</v>
      </c>
      <c r="D230" s="1695">
        <f t="shared" si="11"/>
        <v>0</v>
      </c>
      <c r="E230" s="1708">
        <f t="shared" si="11"/>
        <v>0</v>
      </c>
      <c r="F230" s="1695">
        <f t="shared" si="11"/>
        <v>0</v>
      </c>
      <c r="G230" s="1695">
        <f t="shared" si="8"/>
        <v>0</v>
      </c>
      <c r="H230" s="1708">
        <f t="shared" si="8"/>
        <v>0</v>
      </c>
      <c r="I230" s="1708">
        <f t="shared" si="10"/>
        <v>0</v>
      </c>
      <c r="J230" s="1708">
        <f t="shared" si="10"/>
        <v>0</v>
      </c>
    </row>
    <row r="231" spans="2:10">
      <c r="B231" s="1695" t="str">
        <f t="shared" si="12"/>
        <v/>
      </c>
      <c r="C231" s="1695">
        <f t="shared" si="11"/>
        <v>0</v>
      </c>
      <c r="D231" s="1695">
        <f t="shared" si="11"/>
        <v>0</v>
      </c>
      <c r="E231" s="1708">
        <f t="shared" si="11"/>
        <v>0</v>
      </c>
      <c r="F231" s="1695">
        <f t="shared" si="11"/>
        <v>0</v>
      </c>
      <c r="G231" s="1695">
        <f t="shared" si="8"/>
        <v>0</v>
      </c>
      <c r="H231" s="1708">
        <f t="shared" si="8"/>
        <v>0</v>
      </c>
      <c r="I231" s="1708">
        <f t="shared" si="10"/>
        <v>0</v>
      </c>
      <c r="J231" s="1708">
        <f t="shared" si="10"/>
        <v>0</v>
      </c>
    </row>
    <row r="232" spans="2:10">
      <c r="B232" s="1695" t="str">
        <f t="shared" si="12"/>
        <v/>
      </c>
      <c r="C232" s="1695">
        <f t="shared" si="11"/>
        <v>0</v>
      </c>
      <c r="D232" s="1695">
        <f t="shared" si="11"/>
        <v>0</v>
      </c>
      <c r="E232" s="1708">
        <f t="shared" si="11"/>
        <v>0</v>
      </c>
      <c r="F232" s="1695">
        <f t="shared" si="11"/>
        <v>0</v>
      </c>
      <c r="G232" s="1695">
        <f t="shared" si="8"/>
        <v>0</v>
      </c>
      <c r="H232" s="1708">
        <f t="shared" si="8"/>
        <v>0</v>
      </c>
      <c r="I232" s="1708">
        <f t="shared" si="10"/>
        <v>0</v>
      </c>
      <c r="J232" s="1708">
        <f t="shared" si="10"/>
        <v>0</v>
      </c>
    </row>
    <row r="233" spans="2:10">
      <c r="B233" s="1695" t="str">
        <f t="shared" si="12"/>
        <v/>
      </c>
      <c r="C233" s="1695">
        <f t="shared" si="11"/>
        <v>0</v>
      </c>
      <c r="D233" s="1695">
        <f t="shared" si="11"/>
        <v>0</v>
      </c>
      <c r="E233" s="1708">
        <f t="shared" si="11"/>
        <v>0</v>
      </c>
      <c r="F233" s="1695">
        <f t="shared" si="11"/>
        <v>0</v>
      </c>
      <c r="G233" s="1695">
        <f t="shared" si="8"/>
        <v>0</v>
      </c>
      <c r="H233" s="1710">
        <f t="shared" si="8"/>
        <v>0</v>
      </c>
      <c r="I233" s="1708">
        <f t="shared" si="10"/>
        <v>0</v>
      </c>
      <c r="J233" s="1710">
        <f t="shared" si="10"/>
        <v>0</v>
      </c>
    </row>
    <row r="234" spans="2:10" ht="13.8" thickBot="1">
      <c r="B234" s="1695" t="str">
        <f t="shared" si="12"/>
        <v>הוצאות שכר לפי נספח 1 לטופס 2</v>
      </c>
      <c r="C234" s="1695">
        <f t="shared" si="11"/>
        <v>0</v>
      </c>
      <c r="D234" s="1695">
        <f t="shared" si="11"/>
        <v>0</v>
      </c>
      <c r="E234" s="1708">
        <f t="shared" si="11"/>
        <v>0</v>
      </c>
      <c r="F234" s="1711">
        <f t="shared" si="11"/>
        <v>0</v>
      </c>
      <c r="G234" s="1695">
        <f t="shared" si="8"/>
        <v>0</v>
      </c>
      <c r="H234" s="1712">
        <f t="shared" si="8"/>
        <v>319784</v>
      </c>
      <c r="I234" s="1708">
        <f t="shared" si="10"/>
        <v>0</v>
      </c>
      <c r="J234" s="1712">
        <f t="shared" si="10"/>
        <v>301819</v>
      </c>
    </row>
    <row r="235" spans="2:10" ht="13.8" thickTop="1"/>
  </sheetData>
  <sheetProtection password="83C1" sheet="1" objects="1" scenarios="1"/>
  <mergeCells count="12">
    <mergeCell ref="B5:B6"/>
    <mergeCell ref="D5:F5"/>
    <mergeCell ref="H5:J5"/>
    <mergeCell ref="D1:J1"/>
    <mergeCell ref="C2:J2"/>
    <mergeCell ref="D3:J3"/>
    <mergeCell ref="B192:J192"/>
    <mergeCell ref="B191:J191"/>
    <mergeCell ref="B190:J190"/>
    <mergeCell ref="B196:B197"/>
    <mergeCell ref="D196:F196"/>
    <mergeCell ref="H196:J196"/>
  </mergeCells>
  <phoneticPr fontId="4" type="noConversion"/>
  <hyperlinks>
    <hyperlink ref="A4" location="'תוכן הענינים'!A1" tooltip="לחץ להצגת גליון תוכן הענינים" display="הצג תוכן ענינים"/>
  </hyperlinks>
  <printOptions horizontalCentered="1"/>
  <pageMargins left="0.25" right="0.25" top="0.75" bottom="0.39370078740157499" header="0.25" footer="3.9370078740157501E-2"/>
  <pageSetup paperSize="9" scale="92" firstPageNumber="27" orientation="portrait" blackAndWhite="1" horizontalDpi="300" verticalDpi="300" r:id="rId1"/>
  <headerFooter alignWithMargins="0">
    <oddHeader>&amp;L&amp;8&amp;A</oddHeader>
    <oddFooter>&amp;C&amp;8&amp;P</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0"/>
  <dimension ref="A1:O242"/>
  <sheetViews>
    <sheetView showGridLines="0" showRowColHeaders="0" showZeros="0" rightToLeft="1" showOutlineSymbols="0" zoomScaleNormal="100" zoomScaleSheetLayoutView="75" workbookViewId="0">
      <selection activeCell="A3" sqref="A3"/>
    </sheetView>
  </sheetViews>
  <sheetFormatPr defaultColWidth="9.109375" defaultRowHeight="13.2"/>
  <cols>
    <col min="1" max="1" width="4.33203125" style="1716" customWidth="1"/>
    <col min="2" max="2" width="24.6640625" style="1716" customWidth="1"/>
    <col min="3" max="3" width="11.109375" style="1716" customWidth="1"/>
    <col min="4" max="4" width="22" style="1716" customWidth="1"/>
    <col min="5" max="5" width="2.33203125" style="1716" customWidth="1"/>
    <col min="6" max="6" width="12.109375" style="1716" customWidth="1"/>
    <col min="7" max="7" width="2.6640625" style="1716" customWidth="1"/>
    <col min="8" max="8" width="12" style="1716" customWidth="1"/>
    <col min="9" max="9" width="2.6640625" style="1716" customWidth="1"/>
    <col min="10" max="10" width="12" style="1716" customWidth="1"/>
    <col min="11" max="12" width="9.109375" style="1716"/>
    <col min="13" max="13" width="9.109375" style="1716" hidden="1" customWidth="1"/>
    <col min="14" max="16384" width="9.109375" style="1716"/>
  </cols>
  <sheetData>
    <row r="1" spans="1:13" ht="24.75" customHeight="1">
      <c r="A1" s="1713"/>
      <c r="B1" s="1714"/>
      <c r="C1" s="1714"/>
      <c r="D1" s="3624" t="str">
        <f>'הגדרות כלליות'!D6</f>
        <v>עירית הרצליה</v>
      </c>
      <c r="E1" s="3625"/>
      <c r="F1" s="3625"/>
      <c r="G1" s="3625"/>
      <c r="H1" s="3625"/>
      <c r="I1" s="3625"/>
      <c r="J1" s="3625"/>
      <c r="K1" s="3625"/>
      <c r="L1" s="1715"/>
    </row>
    <row r="2" spans="1:13" ht="16.5" customHeight="1">
      <c r="A2" s="1713"/>
      <c r="B2" s="1714"/>
      <c r="C2" s="1714"/>
      <c r="D2" s="3624" t="s">
        <v>991</v>
      </c>
      <c r="E2" s="3625"/>
      <c r="F2" s="3625"/>
      <c r="G2" s="3625"/>
      <c r="H2" s="3625"/>
      <c r="I2" s="3625"/>
      <c r="J2" s="3625"/>
      <c r="K2" s="3625"/>
      <c r="L2" s="1715"/>
    </row>
    <row r="3" spans="1:13" ht="21" customHeight="1">
      <c r="A3" s="7" t="s">
        <v>339</v>
      </c>
      <c r="B3" s="1717"/>
      <c r="C3" s="977"/>
      <c r="D3" s="977"/>
      <c r="E3" s="977"/>
      <c r="F3" s="977"/>
      <c r="G3" s="977"/>
      <c r="H3" s="977"/>
      <c r="I3" s="977"/>
      <c r="J3" s="977"/>
      <c r="K3" s="1718"/>
      <c r="L3" s="1715"/>
    </row>
    <row r="4" spans="1:13">
      <c r="A4" s="1718"/>
      <c r="B4" s="1723" t="s">
        <v>992</v>
      </c>
      <c r="C4" s="1719"/>
      <c r="D4" s="3629">
        <f>'הגדרות כלליות'!D10</f>
        <v>2015</v>
      </c>
      <c r="E4" s="3600"/>
      <c r="F4" s="3600"/>
      <c r="G4" s="1720"/>
      <c r="H4" s="1721">
        <f>'הגדרות כלליות'!D12</f>
        <v>2014</v>
      </c>
      <c r="I4" s="1720"/>
      <c r="J4" s="1722">
        <f>'הגדרות כלליות'!D14</f>
        <v>2013</v>
      </c>
      <c r="K4" s="1718"/>
      <c r="L4" s="1715"/>
    </row>
    <row r="5" spans="1:13">
      <c r="A5" s="1718"/>
      <c r="B5" s="2969" t="s">
        <v>271</v>
      </c>
      <c r="C5" s="1724"/>
      <c r="D5" s="1724" t="s">
        <v>993</v>
      </c>
      <c r="E5" s="1725"/>
      <c r="F5" s="1724" t="s">
        <v>994</v>
      </c>
      <c r="G5" s="1726"/>
      <c r="H5" s="1724" t="s">
        <v>994</v>
      </c>
      <c r="I5" s="1726"/>
      <c r="J5" s="1727" t="s">
        <v>993</v>
      </c>
      <c r="K5" s="1718"/>
      <c r="L5" s="1715"/>
    </row>
    <row r="6" spans="1:13">
      <c r="A6" s="1718"/>
      <c r="B6" s="1728" t="s">
        <v>272</v>
      </c>
      <c r="C6" s="1725"/>
      <c r="D6" s="1724" t="s">
        <v>995</v>
      </c>
      <c r="E6" s="1725"/>
      <c r="F6" s="1724" t="s">
        <v>996</v>
      </c>
      <c r="G6" s="1726"/>
      <c r="H6" s="1724" t="s">
        <v>996</v>
      </c>
      <c r="I6" s="1726"/>
      <c r="J6" s="1727" t="s">
        <v>996</v>
      </c>
      <c r="K6" s="1718"/>
      <c r="L6" s="1715"/>
    </row>
    <row r="7" spans="1:13">
      <c r="A7" s="1718"/>
      <c r="B7" s="1729"/>
      <c r="C7" s="1730"/>
      <c r="D7" s="1730"/>
      <c r="E7" s="1730"/>
      <c r="F7" s="1731"/>
      <c r="G7" s="1732"/>
      <c r="H7" s="1730"/>
      <c r="I7" s="1730"/>
      <c r="J7" s="1733"/>
      <c r="K7" s="1718"/>
      <c r="L7" s="1715"/>
    </row>
    <row r="8" spans="1:13">
      <c r="A8" s="1718"/>
      <c r="B8" s="1734" t="str">
        <f>'נתונים משותפים'!B6</f>
        <v>מבנה מגורים</v>
      </c>
      <c r="C8" s="1730">
        <f>'נתונים משותפים'!D6</f>
        <v>0</v>
      </c>
      <c r="D8" s="1735">
        <f>'נתונים משותפים'!E6</f>
        <v>33.020000000000003</v>
      </c>
      <c r="E8" s="1730"/>
      <c r="F8" s="1735">
        <f>'נספח א'!H9</f>
        <v>58.563790362414878</v>
      </c>
      <c r="G8" s="1732"/>
      <c r="H8" s="1735">
        <f>'נספח א'!J9</f>
        <v>57.975362715576239</v>
      </c>
      <c r="I8" s="1731"/>
      <c r="J8" s="1736">
        <v>55.86</v>
      </c>
      <c r="K8" s="1718"/>
      <c r="L8" s="1715"/>
      <c r="M8" s="1716">
        <f>IF(AND(F8&lt;&gt;0,F8&lt;$D8),1,0)</f>
        <v>0</v>
      </c>
    </row>
    <row r="9" spans="1:13">
      <c r="A9" s="1718"/>
      <c r="B9" s="1734" t="str">
        <f>'נתונים משותפים'!B7</f>
        <v>מגורים שאינם בשימוש</v>
      </c>
      <c r="C9" s="1730">
        <f>'נתונים משותפים'!D7</f>
        <v>0</v>
      </c>
      <c r="D9" s="1735">
        <f>'נתונים משותפים'!E7</f>
        <v>31.85</v>
      </c>
      <c r="E9" s="1730"/>
      <c r="F9" s="1735">
        <f>'נספח א'!H10</f>
        <v>0</v>
      </c>
      <c r="G9" s="1732"/>
      <c r="H9" s="1735">
        <f>'נספח א'!J10</f>
        <v>0</v>
      </c>
      <c r="I9" s="1731"/>
      <c r="J9" s="1736"/>
      <c r="K9" s="1718"/>
      <c r="L9" s="1715"/>
      <c r="M9" s="1716">
        <f>IF(AND(F9&lt;&gt;0,F9&lt;$D9),1,0)</f>
        <v>0</v>
      </c>
    </row>
    <row r="10" spans="1:13">
      <c r="A10" s="1718"/>
      <c r="B10" s="1734" t="str">
        <f>'נתונים משותפים'!B8</f>
        <v>משרדים שירותים ומסחר</v>
      </c>
      <c r="C10" s="1730">
        <f>'נתונים משותפים'!D8</f>
        <v>0</v>
      </c>
      <c r="D10" s="1735">
        <f>'נתונים משותפים'!E8</f>
        <v>64.83</v>
      </c>
      <c r="E10" s="1730"/>
      <c r="F10" s="1735">
        <f>'נספח א'!H11</f>
        <v>288.04243173986038</v>
      </c>
      <c r="G10" s="1732"/>
      <c r="H10" s="1735">
        <f>'נספח א'!J11</f>
        <v>287.44424778761061</v>
      </c>
      <c r="I10" s="1731"/>
      <c r="J10" s="1736">
        <v>276.5</v>
      </c>
      <c r="K10" s="1718"/>
      <c r="L10" s="1715"/>
      <c r="M10" s="1716">
        <f t="shared" ref="M10:M14" si="0">IF(AND(F10&lt;&gt;0,F10&lt;$D10),1,0)</f>
        <v>0</v>
      </c>
    </row>
    <row r="11" spans="1:13">
      <c r="A11" s="1718"/>
      <c r="B11" s="1734" t="str">
        <f>'נתונים משותפים'!B9</f>
        <v>בנקים וחברות ביטוח</v>
      </c>
      <c r="C11" s="1730">
        <f>'נתונים משותפים'!D9</f>
        <v>0</v>
      </c>
      <c r="D11" s="1735">
        <f>'נתונים משותפים'!E9</f>
        <v>440.89</v>
      </c>
      <c r="E11" s="1730"/>
      <c r="F11" s="1735">
        <f>'נספח א'!H12</f>
        <v>1320.5297855440826</v>
      </c>
      <c r="G11" s="1732"/>
      <c r="H11" s="1735">
        <f>'נספח א'!J12</f>
        <v>1368.25</v>
      </c>
      <c r="I11" s="1731"/>
      <c r="J11" s="1736">
        <v>1300.5</v>
      </c>
      <c r="K11" s="1718"/>
      <c r="L11" s="1715"/>
      <c r="M11" s="1716">
        <f t="shared" si="0"/>
        <v>0</v>
      </c>
    </row>
    <row r="12" spans="1:13">
      <c r="A12" s="1718"/>
      <c r="B12" s="1734" t="str">
        <f>'נתונים משותפים'!B10</f>
        <v>תעשיה</v>
      </c>
      <c r="C12" s="1730">
        <f>'נתונים משותפים'!D10</f>
        <v>0</v>
      </c>
      <c r="D12" s="1735">
        <f>'נתונים משותפים'!E10</f>
        <v>23.63</v>
      </c>
      <c r="E12" s="1730"/>
      <c r="F12" s="1735">
        <f>'נספח א'!H13</f>
        <v>125.28457941803985</v>
      </c>
      <c r="G12" s="1732"/>
      <c r="H12" s="1735">
        <f>'נספח א'!J13</f>
        <v>124.09654984317469</v>
      </c>
      <c r="I12" s="1731"/>
      <c r="J12" s="1736">
        <v>119.76</v>
      </c>
      <c r="K12" s="1718"/>
      <c r="L12" s="1715"/>
      <c r="M12" s="1716">
        <f t="shared" si="0"/>
        <v>0</v>
      </c>
    </row>
    <row r="13" spans="1:13">
      <c r="A13" s="1718"/>
      <c r="B13" s="1734" t="str">
        <f>'נתונים משותפים'!B11</f>
        <v>בתי מלון</v>
      </c>
      <c r="C13" s="1730">
        <f>'נתונים משותפים'!D11</f>
        <v>0</v>
      </c>
      <c r="D13" s="1735">
        <f>'נתונים משותפים'!E11</f>
        <v>36.49</v>
      </c>
      <c r="E13" s="1730"/>
      <c r="F13" s="1735">
        <f>'נספח א'!H14</f>
        <v>115.70388002856464</v>
      </c>
      <c r="G13" s="1732"/>
      <c r="H13" s="1735">
        <f>'נספח א'!J14</f>
        <v>115.33333333333333</v>
      </c>
      <c r="I13" s="1731"/>
      <c r="J13" s="1736">
        <v>111.43</v>
      </c>
      <c r="K13" s="1718"/>
      <c r="L13" s="1715"/>
      <c r="M13" s="1716">
        <f t="shared" si="0"/>
        <v>0</v>
      </c>
    </row>
    <row r="14" spans="1:13">
      <c r="A14" s="1718"/>
      <c r="B14" s="1734" t="str">
        <f>'נתונים משותפים'!B12</f>
        <v>מלאכה</v>
      </c>
      <c r="C14" s="1730">
        <f>'נתונים משותפים'!D12</f>
        <v>0</v>
      </c>
      <c r="D14" s="1735">
        <f>'נתונים משותפים'!E12</f>
        <v>43.77</v>
      </c>
      <c r="E14" s="1730"/>
      <c r="F14" s="1735">
        <f>'נספח א'!H15</f>
        <v>0</v>
      </c>
      <c r="G14" s="1732"/>
      <c r="H14" s="1735">
        <f>'נספח א'!J15</f>
        <v>0</v>
      </c>
      <c r="I14" s="1731"/>
      <c r="J14" s="1736"/>
      <c r="K14" s="1718"/>
      <c r="L14" s="1715"/>
      <c r="M14" s="1716">
        <f t="shared" si="0"/>
        <v>0</v>
      </c>
    </row>
    <row r="15" spans="1:13">
      <c r="A15" s="1718"/>
      <c r="B15" s="1734" t="str">
        <f>'נתונים משותפים'!B13</f>
        <v>אדמה חקלאית</v>
      </c>
      <c r="C15" s="1730" t="str">
        <f>'נתונים משותפים'!D13</f>
        <v>למ"ר</v>
      </c>
      <c r="D15" s="1735">
        <f>'נתונים משותפים'!E13</f>
        <v>9.1699999999999993E-3</v>
      </c>
      <c r="E15" s="1730"/>
      <c r="F15" s="1735">
        <f>'נספח א'!H16</f>
        <v>3.6491935483870967E-2</v>
      </c>
      <c r="G15" s="1732"/>
      <c r="H15" s="1735">
        <f>'נספח א'!J16</f>
        <v>3.6072144288577156E-2</v>
      </c>
      <c r="I15" s="1731"/>
      <c r="J15" s="1736">
        <v>0.03</v>
      </c>
      <c r="K15" s="1718"/>
      <c r="L15" s="1715"/>
      <c r="M15" s="1716">
        <f>IF(AND(F15&lt;&gt;0,F15&lt;$D15),1,0)</f>
        <v>0</v>
      </c>
    </row>
    <row r="16" spans="1:13">
      <c r="A16" s="1718"/>
      <c r="B16" s="1734" t="str">
        <f>'נתונים משותפים'!B14</f>
        <v>קרקע תפוסה</v>
      </c>
      <c r="C16" s="1730" t="str">
        <f>'נתונים משותפים'!D14</f>
        <v>למ"ר</v>
      </c>
      <c r="D16" s="1735">
        <f>'נתונים משותפים'!E14</f>
        <v>1.0439E-2</v>
      </c>
      <c r="E16" s="1730"/>
      <c r="F16" s="1735">
        <f>'נספח א'!H17</f>
        <v>22.028671613165692</v>
      </c>
      <c r="G16" s="1732"/>
      <c r="H16" s="1735">
        <f>'נספח א'!J17</f>
        <v>21.962671905697444</v>
      </c>
      <c r="I16" s="1731"/>
      <c r="J16" s="1736">
        <v>21.14</v>
      </c>
      <c r="K16" s="1718"/>
      <c r="L16" s="1715"/>
      <c r="M16" s="1716">
        <f t="shared" ref="M16:M21" si="1">IF(AND(F16&lt;&gt;0,F16&lt;$D16),1,0)</f>
        <v>0</v>
      </c>
    </row>
    <row r="17" spans="1:15">
      <c r="A17" s="1718"/>
      <c r="B17" s="1734" t="str">
        <f>'נתונים משותפים'!B15</f>
        <v>קרקע תפוסה במפעל עתיר שטח</v>
      </c>
      <c r="C17" s="1730" t="str">
        <f>'נתונים משותפים'!D15</f>
        <v>למ"ר</v>
      </c>
      <c r="D17" s="1735">
        <f>'נתונים משותפים'!E15</f>
        <v>1.1438E-2</v>
      </c>
      <c r="E17" s="1730"/>
      <c r="F17" s="1735">
        <f>'נספח א'!H18</f>
        <v>6.4700130483109684</v>
      </c>
      <c r="G17" s="1732"/>
      <c r="H17" s="1735">
        <f>'נספח א'!J18</f>
        <v>6.4170692431561998</v>
      </c>
      <c r="I17" s="1731"/>
      <c r="J17" s="1736">
        <v>6.19</v>
      </c>
      <c r="K17" s="1718"/>
      <c r="L17" s="1715"/>
      <c r="M17" s="1716">
        <f t="shared" si="1"/>
        <v>0</v>
      </c>
    </row>
    <row r="18" spans="1:15">
      <c r="A18" s="1718"/>
      <c r="B18" s="1734" t="str">
        <f>'נתונים משותפים'!B16</f>
        <v>קרקע תפוסה המשמשת לעריכת אירועים</v>
      </c>
      <c r="C18" s="1730" t="str">
        <f>'נתונים משותפים'!D16</f>
        <v>למ"ר</v>
      </c>
      <c r="D18" s="1735">
        <f>'נתונים משותפים'!E16</f>
        <v>7.04</v>
      </c>
      <c r="E18" s="1730"/>
      <c r="F18" s="1735">
        <f>'נספח א'!H19</f>
        <v>28.226130653266331</v>
      </c>
      <c r="G18" s="1732"/>
      <c r="H18" s="1735">
        <f>'נספח א'!J19</f>
        <v>28</v>
      </c>
      <c r="I18" s="1731"/>
      <c r="J18" s="1736">
        <v>27</v>
      </c>
      <c r="K18" s="1718"/>
      <c r="L18" s="1715"/>
      <c r="M18" s="1716">
        <f t="shared" si="1"/>
        <v>0</v>
      </c>
    </row>
    <row r="19" spans="1:15">
      <c r="A19" s="1718"/>
      <c r="B19" s="1734" t="str">
        <f>'נתונים משותפים'!B17</f>
        <v>חניונים</v>
      </c>
      <c r="C19" s="1730">
        <f>'נתונים משותפים'!D17</f>
        <v>0</v>
      </c>
      <c r="D19" s="1735">
        <f>'נתונים משותפים'!E17</f>
        <v>1.35</v>
      </c>
      <c r="E19" s="1730"/>
      <c r="F19" s="1735">
        <f>'נספח א'!H20</f>
        <v>50.014096335940721</v>
      </c>
      <c r="G19" s="1732"/>
      <c r="H19" s="1735">
        <f>'נספח א'!J20</f>
        <v>49.774137931034481</v>
      </c>
      <c r="I19" s="1731"/>
      <c r="J19" s="1736">
        <v>48.09</v>
      </c>
      <c r="K19" s="1718"/>
      <c r="L19" s="1715"/>
      <c r="M19" s="1716">
        <f t="shared" si="1"/>
        <v>0</v>
      </c>
    </row>
    <row r="20" spans="1:15">
      <c r="A20" s="1718"/>
      <c r="B20" s="1734" t="str">
        <f>'נתונים משותפים'!B18</f>
        <v>מבנה חקלאי</v>
      </c>
      <c r="C20" s="1730" t="str">
        <f>'נתונים משותפים'!D18</f>
        <v>למ"ר</v>
      </c>
      <c r="D20" s="1735">
        <f>'נתונים משותפים'!E18</f>
        <v>0.33200000000000002</v>
      </c>
      <c r="E20" s="1730"/>
      <c r="F20" s="1735">
        <f>'נספח א'!H21</f>
        <v>43.654450261780106</v>
      </c>
      <c r="G20" s="1732"/>
      <c r="H20" s="1735">
        <f>'נספח א'!J21</f>
        <v>41.5</v>
      </c>
      <c r="I20" s="1731"/>
      <c r="J20" s="1736">
        <v>31.5</v>
      </c>
      <c r="K20" s="1718"/>
      <c r="L20" s="1715"/>
      <c r="M20" s="1716">
        <f t="shared" si="1"/>
        <v>0</v>
      </c>
    </row>
    <row r="21" spans="1:15">
      <c r="A21" s="1718"/>
      <c r="B21" s="1734" t="str">
        <f>'נתונים משותפים'!B19</f>
        <v>נכסים אחרים</v>
      </c>
      <c r="C21" s="1730">
        <f>'נתונים משותפים'!D19</f>
        <v>0</v>
      </c>
      <c r="D21" s="1735">
        <f>'נתונים משותפים'!E19</f>
        <v>0</v>
      </c>
      <c r="E21" s="1730"/>
      <c r="F21" s="1735">
        <f>'נספח א'!H22</f>
        <v>109.64681469184478</v>
      </c>
      <c r="G21" s="1732"/>
      <c r="H21" s="1735">
        <f>'נספח א'!J22</f>
        <v>111.36666666666666</v>
      </c>
      <c r="I21" s="1731"/>
      <c r="J21" s="1736">
        <v>106.03</v>
      </c>
      <c r="K21" s="1718"/>
      <c r="L21" s="1715"/>
      <c r="M21" s="1716">
        <f t="shared" si="1"/>
        <v>0</v>
      </c>
    </row>
    <row r="22" spans="1:15">
      <c r="A22" s="1718"/>
      <c r="B22" s="1734" t="str">
        <f>'נתונים משותפים'!B20</f>
        <v>אזורי תעשיה משותפים</v>
      </c>
      <c r="C22" s="1730" t="str">
        <f>'נתונים משותפים'!D20</f>
        <v>למ"ר</v>
      </c>
      <c r="D22" s="1735">
        <f>'נתונים משותפים'!E20</f>
        <v>0</v>
      </c>
      <c r="E22" s="1730"/>
      <c r="F22" s="1735">
        <f>'נספח א'!H25</f>
        <v>0</v>
      </c>
      <c r="G22" s="1732"/>
      <c r="H22" s="1735">
        <f>'נספח א'!J25</f>
        <v>0</v>
      </c>
      <c r="I22" s="1731"/>
      <c r="J22" s="1736"/>
      <c r="K22" s="1718"/>
      <c r="L22" s="1715"/>
      <c r="M22" s="1716">
        <f>IF(AND(F22&lt;&gt;0,F22&lt;$D22),1,0)</f>
        <v>0</v>
      </c>
    </row>
    <row r="23" spans="1:15">
      <c r="A23" s="1718"/>
      <c r="B23" s="1734" t="str">
        <f>'נתונים משותפים'!B21</f>
        <v>(***)</v>
      </c>
      <c r="C23" s="1730" t="str">
        <f>'נתונים משותפים'!D21</f>
        <v>למ"ר / לדונם</v>
      </c>
      <c r="D23" s="1735">
        <f>'נתונים משותפים'!E21</f>
        <v>0</v>
      </c>
      <c r="E23" s="1730"/>
      <c r="F23" s="1737"/>
      <c r="G23" s="1732"/>
      <c r="H23" s="1737"/>
      <c r="I23" s="1731"/>
      <c r="J23" s="1738"/>
      <c r="K23" s="1718"/>
      <c r="L23" s="1715"/>
      <c r="M23" s="1716">
        <f t="shared" ref="M23:M25" si="2">IF(AND(F23&lt;&gt;0,F23&lt;$D23),1,0)</f>
        <v>0</v>
      </c>
    </row>
    <row r="24" spans="1:15">
      <c r="A24" s="1718"/>
      <c r="B24" s="1734" t="str">
        <f>'נתונים משותפים'!B22</f>
        <v>(***)</v>
      </c>
      <c r="C24" s="1730" t="str">
        <f>'נתונים משותפים'!D22</f>
        <v>למ"ר / לדונם</v>
      </c>
      <c r="D24" s="1735">
        <f>'נתונים משותפים'!E22</f>
        <v>0</v>
      </c>
      <c r="E24" s="1730"/>
      <c r="F24" s="1737"/>
      <c r="G24" s="1732"/>
      <c r="H24" s="1737"/>
      <c r="I24" s="1731"/>
      <c r="J24" s="1738"/>
      <c r="K24" s="1718"/>
      <c r="L24" s="1715"/>
      <c r="M24" s="1716">
        <f t="shared" si="2"/>
        <v>0</v>
      </c>
    </row>
    <row r="25" spans="1:15">
      <c r="A25" s="1718"/>
      <c r="B25" s="1734" t="str">
        <f>'נתונים משותפים'!B23</f>
        <v>(***)</v>
      </c>
      <c r="C25" s="1730" t="str">
        <f>'נתונים משותפים'!D23</f>
        <v>למ"ר / לדונם</v>
      </c>
      <c r="D25" s="1735">
        <f>'נתונים משותפים'!E23</f>
        <v>0</v>
      </c>
      <c r="E25" s="1730"/>
      <c r="F25" s="1739"/>
      <c r="G25" s="1732"/>
      <c r="H25" s="1739"/>
      <c r="I25" s="1731"/>
      <c r="J25" s="1740"/>
      <c r="K25" s="1718"/>
      <c r="L25" s="1715"/>
      <c r="M25" s="1716">
        <f t="shared" si="2"/>
        <v>0</v>
      </c>
    </row>
    <row r="26" spans="1:15">
      <c r="A26" s="1718"/>
      <c r="B26" s="1741"/>
      <c r="C26" s="1742"/>
      <c r="D26" s="1742"/>
      <c r="E26" s="1742"/>
      <c r="F26" s="1742"/>
      <c r="G26" s="1743"/>
      <c r="H26" s="1742"/>
      <c r="I26" s="1743"/>
      <c r="J26" s="1744"/>
      <c r="K26" s="1718"/>
      <c r="L26" s="1715"/>
      <c r="M26" s="1716">
        <f>SUM(M8:M25)</f>
        <v>0</v>
      </c>
      <c r="N26" s="1716">
        <f>SUM(N8:N25)</f>
        <v>0</v>
      </c>
      <c r="O26" s="1716">
        <f>SUM(O8:O25)</f>
        <v>0</v>
      </c>
    </row>
    <row r="27" spans="1:15">
      <c r="A27" s="1718"/>
      <c r="B27" s="1718"/>
      <c r="C27" s="1718"/>
      <c r="D27" s="1718"/>
      <c r="E27" s="1718"/>
      <c r="F27" s="1718"/>
      <c r="G27" s="1718"/>
      <c r="H27" s="1718"/>
      <c r="I27" s="1718"/>
      <c r="J27" s="1718"/>
      <c r="K27" s="1718"/>
      <c r="L27" s="1715"/>
    </row>
    <row r="28" spans="1:15">
      <c r="A28" s="1718"/>
      <c r="B28" s="1745" t="str">
        <f>CONCATENATE("(*)  תעריף המינימום כפי שנקבע בתקנות הסדרים במשק המדינה (ארנונה כללית ברשויות המקומיות בשנת ",'הגדרות כלליות'!D10,") ")</f>
        <v xml:space="preserve">(*)  תעריף המינימום כפי שנקבע בתקנות הסדרים במשק המדינה (ארנונה כללית ברשויות המקומיות בשנת 2015) </v>
      </c>
      <c r="C28" s="1718"/>
      <c r="D28" s="1718"/>
      <c r="E28" s="1718"/>
      <c r="F28" s="1718"/>
      <c r="G28" s="1718"/>
      <c r="H28" s="1718"/>
      <c r="I28" s="1718"/>
      <c r="J28" s="1718"/>
      <c r="K28" s="1718"/>
      <c r="L28" s="1715"/>
    </row>
    <row r="29" spans="1:15">
      <c r="A29" s="1718"/>
      <c r="B29" s="1745"/>
      <c r="C29" s="1718"/>
      <c r="D29" s="1718"/>
      <c r="E29" s="1718"/>
      <c r="F29" s="1718"/>
      <c r="G29" s="1718"/>
      <c r="H29" s="1718"/>
      <c r="I29" s="1718"/>
      <c r="J29" s="1718"/>
      <c r="K29" s="1718"/>
      <c r="L29" s="1715"/>
    </row>
    <row r="30" spans="1:15">
      <c r="A30" s="1718"/>
      <c r="B30" s="1745"/>
      <c r="C30" s="1718"/>
      <c r="D30" s="1718"/>
      <c r="E30" s="1718"/>
      <c r="F30" s="1718"/>
      <c r="G30" s="1718"/>
      <c r="H30" s="1718"/>
      <c r="I30" s="1718"/>
      <c r="J30" s="1718"/>
      <c r="K30" s="1718"/>
      <c r="L30" s="1715"/>
    </row>
    <row r="31" spans="1:15">
      <c r="A31" s="1718"/>
      <c r="B31" s="1745"/>
      <c r="C31" s="1718"/>
      <c r="D31" s="1718"/>
      <c r="E31" s="1718"/>
      <c r="F31" s="1718"/>
      <c r="G31" s="1718"/>
      <c r="H31" s="1718"/>
      <c r="I31" s="1718"/>
      <c r="J31" s="1718"/>
      <c r="K31" s="1718"/>
      <c r="L31" s="1715"/>
    </row>
    <row r="32" spans="1:15">
      <c r="A32" s="1718"/>
      <c r="B32" s="1745"/>
      <c r="C32" s="1718"/>
      <c r="D32" s="1718"/>
      <c r="E32" s="1718"/>
      <c r="F32" s="1718"/>
      <c r="G32" s="1718"/>
      <c r="H32" s="1718"/>
      <c r="I32" s="1718"/>
      <c r="J32" s="1718"/>
      <c r="K32" s="1718"/>
      <c r="L32" s="1715"/>
    </row>
    <row r="33" spans="1:12">
      <c r="A33" s="1718"/>
      <c r="B33" s="1745"/>
      <c r="C33" s="1718"/>
      <c r="D33" s="1718"/>
      <c r="E33" s="1718"/>
      <c r="F33" s="1718"/>
      <c r="G33" s="1718"/>
      <c r="H33" s="1718"/>
      <c r="I33" s="1718"/>
      <c r="J33" s="1718"/>
      <c r="K33" s="1718"/>
      <c r="L33" s="1715"/>
    </row>
    <row r="34" spans="1:12" ht="13.8" thickBot="1">
      <c r="A34" s="1718"/>
      <c r="B34" s="1718"/>
      <c r="C34" s="1718"/>
      <c r="D34" s="1718"/>
      <c r="E34" s="1718"/>
      <c r="F34" s="1718"/>
      <c r="G34" s="1718"/>
      <c r="H34" s="1718"/>
      <c r="I34" s="1718"/>
      <c r="J34" s="1718"/>
      <c r="K34" s="1718"/>
      <c r="L34" s="1715"/>
    </row>
    <row r="35" spans="1:12" ht="13.8" thickTop="1">
      <c r="A35" s="1746"/>
      <c r="B35" s="1746"/>
      <c r="C35" s="1746"/>
      <c r="D35" s="1746"/>
      <c r="E35" s="1746"/>
      <c r="F35" s="1747"/>
      <c r="G35" s="1747"/>
      <c r="H35" s="1747"/>
      <c r="I35" s="1747"/>
      <c r="J35" s="1747"/>
      <c r="K35" s="1746"/>
    </row>
    <row r="36" spans="1:12">
      <c r="F36" s="1748"/>
      <c r="G36" s="1748"/>
      <c r="H36" s="1748"/>
      <c r="I36" s="1748"/>
      <c r="J36" s="1748"/>
    </row>
    <row r="37" spans="1:12">
      <c r="F37" s="1748"/>
      <c r="G37" s="1748"/>
      <c r="H37" s="1748"/>
      <c r="I37" s="1748"/>
      <c r="J37" s="1748"/>
    </row>
    <row r="202" spans="2:10" ht="15.6">
      <c r="B202" s="3628" t="str">
        <f>D1</f>
        <v>עירית הרצליה</v>
      </c>
      <c r="C202" s="3628"/>
      <c r="D202" s="3628"/>
      <c r="E202" s="3628"/>
      <c r="F202" s="3628"/>
      <c r="G202" s="3628"/>
      <c r="H202" s="3628"/>
      <c r="I202" s="3628"/>
      <c r="J202" s="3628"/>
    </row>
    <row r="203" spans="2:10" ht="15.6">
      <c r="B203" s="3628" t="str">
        <f>D2</f>
        <v xml:space="preserve">ארנונה כללית - ניתוח תעריפים למ"ר בשקלים חדשים </v>
      </c>
      <c r="C203" s="3628"/>
      <c r="D203" s="3628"/>
      <c r="E203" s="3628"/>
      <c r="F203" s="3628"/>
      <c r="G203" s="3628"/>
      <c r="H203" s="3628"/>
      <c r="I203" s="3628"/>
      <c r="J203" s="3628"/>
    </row>
    <row r="207" spans="2:10">
      <c r="B207" s="1750" t="str">
        <f>B4</f>
        <v>הסקטור</v>
      </c>
      <c r="C207" s="1749">
        <f>C4</f>
        <v>0</v>
      </c>
      <c r="D207" s="3626">
        <f>D4</f>
        <v>2015</v>
      </c>
      <c r="E207" s="3627"/>
      <c r="F207" s="3627"/>
      <c r="G207" s="1750">
        <f t="shared" ref="G207:J211" si="3">G4</f>
        <v>0</v>
      </c>
      <c r="H207" s="1751">
        <f t="shared" si="3"/>
        <v>2014</v>
      </c>
      <c r="I207" s="1750">
        <f t="shared" si="3"/>
        <v>0</v>
      </c>
      <c r="J207" s="1751">
        <f t="shared" si="3"/>
        <v>2013</v>
      </c>
    </row>
    <row r="208" spans="2:10">
      <c r="B208" s="1750"/>
      <c r="C208" s="1750">
        <f t="shared" ref="C208:F211" si="4">C5</f>
        <v>0</v>
      </c>
      <c r="D208" s="1750" t="str">
        <f t="shared" si="4"/>
        <v xml:space="preserve">תעריף </v>
      </c>
      <c r="E208" s="1749">
        <f t="shared" si="4"/>
        <v>0</v>
      </c>
      <c r="F208" s="1750" t="str">
        <f t="shared" si="4"/>
        <v>תעריף</v>
      </c>
      <c r="G208" s="1752">
        <f t="shared" si="3"/>
        <v>0</v>
      </c>
      <c r="H208" s="1750" t="str">
        <f t="shared" si="3"/>
        <v>תעריף</v>
      </c>
      <c r="I208" s="1752">
        <f t="shared" si="3"/>
        <v>0</v>
      </c>
      <c r="J208" s="1750" t="str">
        <f t="shared" si="3"/>
        <v xml:space="preserve">תעריף </v>
      </c>
    </row>
    <row r="209" spans="2:10">
      <c r="B209" s="1749"/>
      <c r="C209" s="1749">
        <f t="shared" si="4"/>
        <v>0</v>
      </c>
      <c r="D209" s="1750" t="str">
        <f t="shared" si="4"/>
        <v>מינימום(*)</v>
      </c>
      <c r="E209" s="1749">
        <f t="shared" si="4"/>
        <v>0</v>
      </c>
      <c r="F209" s="1750" t="str">
        <f t="shared" si="4"/>
        <v>משוקלל</v>
      </c>
      <c r="G209" s="1752">
        <f t="shared" si="3"/>
        <v>0</v>
      </c>
      <c r="H209" s="1750" t="str">
        <f t="shared" si="3"/>
        <v>משוקלל</v>
      </c>
      <c r="I209" s="1752">
        <f t="shared" si="3"/>
        <v>0</v>
      </c>
      <c r="J209" s="1750" t="str">
        <f t="shared" si="3"/>
        <v>משוקלל</v>
      </c>
    </row>
    <row r="210" spans="2:10">
      <c r="B210" s="1749">
        <f>B7</f>
        <v>0</v>
      </c>
      <c r="C210" s="1749">
        <f t="shared" si="4"/>
        <v>0</v>
      </c>
      <c r="D210" s="1749">
        <f t="shared" si="4"/>
        <v>0</v>
      </c>
      <c r="E210" s="1749">
        <f t="shared" si="4"/>
        <v>0</v>
      </c>
      <c r="F210" s="1753">
        <f t="shared" si="4"/>
        <v>0</v>
      </c>
      <c r="G210" s="1754">
        <f t="shared" si="3"/>
        <v>0</v>
      </c>
      <c r="H210" s="1749">
        <f t="shared" si="3"/>
        <v>0</v>
      </c>
      <c r="I210" s="1749">
        <f t="shared" si="3"/>
        <v>0</v>
      </c>
      <c r="J210" s="1749">
        <f t="shared" si="3"/>
        <v>0</v>
      </c>
    </row>
    <row r="211" spans="2:10">
      <c r="B211" s="1755" t="str">
        <f>IF(AND($D8=0,$F8=0,$H8=0,$J8=0),"",$B8)</f>
        <v>מבנה מגורים</v>
      </c>
      <c r="C211" s="1749">
        <f t="shared" si="4"/>
        <v>0</v>
      </c>
      <c r="D211" s="1756">
        <f t="shared" si="4"/>
        <v>33.020000000000003</v>
      </c>
      <c r="E211" s="1749">
        <f t="shared" si="4"/>
        <v>0</v>
      </c>
      <c r="F211" s="1756">
        <f t="shared" si="4"/>
        <v>58.563790362414878</v>
      </c>
      <c r="G211" s="1754">
        <f t="shared" si="3"/>
        <v>0</v>
      </c>
      <c r="H211" s="1756">
        <f t="shared" si="3"/>
        <v>57.975362715576239</v>
      </c>
      <c r="I211" s="1753">
        <f t="shared" si="3"/>
        <v>0</v>
      </c>
      <c r="J211" s="1756">
        <f t="shared" si="3"/>
        <v>55.86</v>
      </c>
    </row>
    <row r="212" spans="2:10">
      <c r="B212" s="1755" t="str">
        <f t="shared" ref="B212:B222" si="5">IF(AND($D10=0,$F10=0,$H10=0,$J10=0),"",$B10)</f>
        <v>משרדים שירותים ומסחר</v>
      </c>
      <c r="C212" s="1749">
        <f t="shared" ref="C212:J212" si="6">C10</f>
        <v>0</v>
      </c>
      <c r="D212" s="1756">
        <f t="shared" si="6"/>
        <v>64.83</v>
      </c>
      <c r="E212" s="1749">
        <f t="shared" si="6"/>
        <v>0</v>
      </c>
      <c r="F212" s="1756">
        <f t="shared" si="6"/>
        <v>288.04243173986038</v>
      </c>
      <c r="G212" s="1754">
        <f t="shared" si="6"/>
        <v>0</v>
      </c>
      <c r="H212" s="1756">
        <f t="shared" si="6"/>
        <v>287.44424778761061</v>
      </c>
      <c r="I212" s="1753">
        <f t="shared" si="6"/>
        <v>0</v>
      </c>
      <c r="J212" s="1756">
        <f t="shared" si="6"/>
        <v>276.5</v>
      </c>
    </row>
    <row r="213" spans="2:10">
      <c r="B213" s="1755" t="str">
        <f t="shared" si="5"/>
        <v>בנקים וחברות ביטוח</v>
      </c>
      <c r="C213" s="1749">
        <f t="shared" ref="C213:J213" si="7">C11</f>
        <v>0</v>
      </c>
      <c r="D213" s="1756">
        <f t="shared" si="7"/>
        <v>440.89</v>
      </c>
      <c r="E213" s="1749">
        <f t="shared" si="7"/>
        <v>0</v>
      </c>
      <c r="F213" s="1756">
        <f t="shared" si="7"/>
        <v>1320.5297855440826</v>
      </c>
      <c r="G213" s="1754">
        <f t="shared" si="7"/>
        <v>0</v>
      </c>
      <c r="H213" s="1756">
        <f t="shared" si="7"/>
        <v>1368.25</v>
      </c>
      <c r="I213" s="1753">
        <f t="shared" si="7"/>
        <v>0</v>
      </c>
      <c r="J213" s="1756">
        <f t="shared" si="7"/>
        <v>1300.5</v>
      </c>
    </row>
    <row r="214" spans="2:10">
      <c r="B214" s="1755" t="str">
        <f t="shared" si="5"/>
        <v>תעשיה</v>
      </c>
      <c r="C214" s="1749">
        <f t="shared" ref="C214:J214" si="8">C12</f>
        <v>0</v>
      </c>
      <c r="D214" s="1756">
        <f t="shared" si="8"/>
        <v>23.63</v>
      </c>
      <c r="E214" s="1749">
        <f t="shared" si="8"/>
        <v>0</v>
      </c>
      <c r="F214" s="1756">
        <f t="shared" si="8"/>
        <v>125.28457941803985</v>
      </c>
      <c r="G214" s="1754">
        <f t="shared" si="8"/>
        <v>0</v>
      </c>
      <c r="H214" s="1756">
        <f t="shared" si="8"/>
        <v>124.09654984317469</v>
      </c>
      <c r="I214" s="1753">
        <f t="shared" si="8"/>
        <v>0</v>
      </c>
      <c r="J214" s="1756">
        <f t="shared" si="8"/>
        <v>119.76</v>
      </c>
    </row>
    <row r="215" spans="2:10">
      <c r="B215" s="1755" t="str">
        <f t="shared" si="5"/>
        <v>בתי מלון</v>
      </c>
      <c r="C215" s="1749">
        <f t="shared" ref="C215:J215" si="9">C13</f>
        <v>0</v>
      </c>
      <c r="D215" s="1756">
        <f t="shared" si="9"/>
        <v>36.49</v>
      </c>
      <c r="E215" s="1749">
        <f t="shared" si="9"/>
        <v>0</v>
      </c>
      <c r="F215" s="1756">
        <f t="shared" si="9"/>
        <v>115.70388002856464</v>
      </c>
      <c r="G215" s="1754">
        <f t="shared" si="9"/>
        <v>0</v>
      </c>
      <c r="H215" s="1756">
        <f t="shared" si="9"/>
        <v>115.33333333333333</v>
      </c>
      <c r="I215" s="1753">
        <f t="shared" si="9"/>
        <v>0</v>
      </c>
      <c r="J215" s="1756">
        <f t="shared" si="9"/>
        <v>111.43</v>
      </c>
    </row>
    <row r="216" spans="2:10">
      <c r="B216" s="1755" t="str">
        <f t="shared" si="5"/>
        <v>מלאכה</v>
      </c>
      <c r="C216" s="1749">
        <f t="shared" ref="C216:J216" si="10">C14</f>
        <v>0</v>
      </c>
      <c r="D216" s="1756">
        <f t="shared" si="10"/>
        <v>43.77</v>
      </c>
      <c r="E216" s="1749">
        <f t="shared" si="10"/>
        <v>0</v>
      </c>
      <c r="F216" s="1756">
        <f t="shared" si="10"/>
        <v>0</v>
      </c>
      <c r="G216" s="1754">
        <f t="shared" si="10"/>
        <v>0</v>
      </c>
      <c r="H216" s="1756">
        <f t="shared" si="10"/>
        <v>0</v>
      </c>
      <c r="I216" s="1753">
        <f t="shared" si="10"/>
        <v>0</v>
      </c>
      <c r="J216" s="1756">
        <f t="shared" si="10"/>
        <v>0</v>
      </c>
    </row>
    <row r="217" spans="2:10">
      <c r="B217" s="1755" t="str">
        <f t="shared" si="5"/>
        <v>אדמה חקלאית</v>
      </c>
      <c r="C217" s="1749" t="str">
        <f t="shared" ref="C217:J217" si="11">C15</f>
        <v>למ"ר</v>
      </c>
      <c r="D217" s="1756">
        <f t="shared" si="11"/>
        <v>9.1699999999999993E-3</v>
      </c>
      <c r="E217" s="1749">
        <f t="shared" si="11"/>
        <v>0</v>
      </c>
      <c r="F217" s="1756">
        <f t="shared" si="11"/>
        <v>3.6491935483870967E-2</v>
      </c>
      <c r="G217" s="1754">
        <f t="shared" si="11"/>
        <v>0</v>
      </c>
      <c r="H217" s="1756">
        <f t="shared" si="11"/>
        <v>3.6072144288577156E-2</v>
      </c>
      <c r="I217" s="1753">
        <f t="shared" si="11"/>
        <v>0</v>
      </c>
      <c r="J217" s="1756">
        <f t="shared" si="11"/>
        <v>0.03</v>
      </c>
    </row>
    <row r="218" spans="2:10">
      <c r="B218" s="1755" t="str">
        <f t="shared" si="5"/>
        <v>קרקע תפוסה</v>
      </c>
      <c r="C218" s="1749" t="str">
        <f t="shared" ref="C218:J218" si="12">C16</f>
        <v>למ"ר</v>
      </c>
      <c r="D218" s="1756">
        <f t="shared" si="12"/>
        <v>1.0439E-2</v>
      </c>
      <c r="E218" s="1749">
        <f t="shared" si="12"/>
        <v>0</v>
      </c>
      <c r="F218" s="1756">
        <f t="shared" si="12"/>
        <v>22.028671613165692</v>
      </c>
      <c r="G218" s="1754">
        <f t="shared" si="12"/>
        <v>0</v>
      </c>
      <c r="H218" s="1756">
        <f t="shared" si="12"/>
        <v>21.962671905697444</v>
      </c>
      <c r="I218" s="1753">
        <f t="shared" si="12"/>
        <v>0</v>
      </c>
      <c r="J218" s="1756">
        <f t="shared" si="12"/>
        <v>21.14</v>
      </c>
    </row>
    <row r="219" spans="2:10">
      <c r="B219" s="1755" t="str">
        <f t="shared" si="5"/>
        <v>קרקע תפוסה במפעל עתיר שטח</v>
      </c>
      <c r="C219" s="1749" t="str">
        <f t="shared" ref="C219:J219" si="13">C17</f>
        <v>למ"ר</v>
      </c>
      <c r="D219" s="1756">
        <f t="shared" si="13"/>
        <v>1.1438E-2</v>
      </c>
      <c r="E219" s="1749">
        <f t="shared" si="13"/>
        <v>0</v>
      </c>
      <c r="F219" s="1756">
        <f t="shared" si="13"/>
        <v>6.4700130483109684</v>
      </c>
      <c r="G219" s="1754">
        <f t="shared" si="13"/>
        <v>0</v>
      </c>
      <c r="H219" s="1756">
        <f t="shared" si="13"/>
        <v>6.4170692431561998</v>
      </c>
      <c r="I219" s="1753">
        <f t="shared" si="13"/>
        <v>0</v>
      </c>
      <c r="J219" s="1756">
        <f t="shared" si="13"/>
        <v>6.19</v>
      </c>
    </row>
    <row r="220" spans="2:10">
      <c r="B220" s="1755" t="str">
        <f t="shared" si="5"/>
        <v>קרקע תפוסה המשמשת לעריכת אירועים</v>
      </c>
      <c r="C220" s="1749" t="str">
        <f t="shared" ref="C220:J220" si="14">C18</f>
        <v>למ"ר</v>
      </c>
      <c r="D220" s="1756">
        <f t="shared" si="14"/>
        <v>7.04</v>
      </c>
      <c r="E220" s="1749">
        <f t="shared" si="14"/>
        <v>0</v>
      </c>
      <c r="F220" s="1756">
        <f t="shared" si="14"/>
        <v>28.226130653266331</v>
      </c>
      <c r="G220" s="1754">
        <f t="shared" si="14"/>
        <v>0</v>
      </c>
      <c r="H220" s="1756">
        <f t="shared" si="14"/>
        <v>28</v>
      </c>
      <c r="I220" s="1753">
        <f t="shared" si="14"/>
        <v>0</v>
      </c>
      <c r="J220" s="1756">
        <f t="shared" si="14"/>
        <v>27</v>
      </c>
    </row>
    <row r="221" spans="2:10">
      <c r="B221" s="1755" t="str">
        <f t="shared" si="5"/>
        <v>חניונים</v>
      </c>
      <c r="C221" s="1749">
        <f t="shared" ref="C221:J221" si="15">C19</f>
        <v>0</v>
      </c>
      <c r="D221" s="1756">
        <f t="shared" si="15"/>
        <v>1.35</v>
      </c>
      <c r="E221" s="1749">
        <f t="shared" si="15"/>
        <v>0</v>
      </c>
      <c r="F221" s="1756">
        <f t="shared" si="15"/>
        <v>50.014096335940721</v>
      </c>
      <c r="G221" s="1754">
        <f t="shared" si="15"/>
        <v>0</v>
      </c>
      <c r="H221" s="1756">
        <f t="shared" si="15"/>
        <v>49.774137931034481</v>
      </c>
      <c r="I221" s="1753">
        <f t="shared" si="15"/>
        <v>0</v>
      </c>
      <c r="J221" s="1756">
        <f t="shared" si="15"/>
        <v>48.09</v>
      </c>
    </row>
    <row r="222" spans="2:10">
      <c r="B222" s="1755" t="str">
        <f t="shared" si="5"/>
        <v>מבנה חקלאי</v>
      </c>
      <c r="C222" s="1749" t="str">
        <f t="shared" ref="C222:J222" si="16">C20</f>
        <v>למ"ר</v>
      </c>
      <c r="D222" s="1756">
        <f t="shared" si="16"/>
        <v>0.33200000000000002</v>
      </c>
      <c r="E222" s="1749">
        <f t="shared" si="16"/>
        <v>0</v>
      </c>
      <c r="F222" s="1756">
        <f t="shared" si="16"/>
        <v>43.654450261780106</v>
      </c>
      <c r="G222" s="1754">
        <f t="shared" si="16"/>
        <v>0</v>
      </c>
      <c r="H222" s="1756">
        <f t="shared" si="16"/>
        <v>41.5</v>
      </c>
      <c r="I222" s="1753">
        <f t="shared" si="16"/>
        <v>0</v>
      </c>
      <c r="J222" s="1756">
        <f t="shared" si="16"/>
        <v>31.5</v>
      </c>
    </row>
    <row r="223" spans="2:10">
      <c r="B223" s="1755" t="str">
        <f t="shared" ref="B223:B228" si="17">IF(AND($D21=0,$F21=0,$H21=0,$J21=0),"",$B21)</f>
        <v>נכסים אחרים</v>
      </c>
      <c r="C223" s="1749">
        <f t="shared" ref="C223:J228" si="18">C21</f>
        <v>0</v>
      </c>
      <c r="D223" s="1756">
        <f t="shared" si="18"/>
        <v>0</v>
      </c>
      <c r="E223" s="1749">
        <f t="shared" si="18"/>
        <v>0</v>
      </c>
      <c r="F223" s="1756">
        <f t="shared" si="18"/>
        <v>109.64681469184478</v>
      </c>
      <c r="G223" s="1754">
        <f t="shared" si="18"/>
        <v>0</v>
      </c>
      <c r="H223" s="1756">
        <f t="shared" si="18"/>
        <v>111.36666666666666</v>
      </c>
      <c r="I223" s="1753">
        <f t="shared" si="18"/>
        <v>0</v>
      </c>
      <c r="J223" s="1756">
        <f t="shared" si="18"/>
        <v>106.03</v>
      </c>
    </row>
    <row r="224" spans="2:10">
      <c r="B224" s="1755" t="str">
        <f t="shared" si="17"/>
        <v/>
      </c>
      <c r="C224" s="1749" t="str">
        <f t="shared" si="18"/>
        <v>למ"ר</v>
      </c>
      <c r="D224" s="1756">
        <f t="shared" si="18"/>
        <v>0</v>
      </c>
      <c r="E224" s="1749">
        <f t="shared" si="18"/>
        <v>0</v>
      </c>
      <c r="F224" s="1756">
        <f t="shared" si="18"/>
        <v>0</v>
      </c>
      <c r="G224" s="1754">
        <f t="shared" si="18"/>
        <v>0</v>
      </c>
      <c r="H224" s="1756">
        <f t="shared" si="18"/>
        <v>0</v>
      </c>
      <c r="I224" s="1753">
        <f t="shared" si="18"/>
        <v>0</v>
      </c>
      <c r="J224" s="1756">
        <f t="shared" si="18"/>
        <v>0</v>
      </c>
    </row>
    <row r="225" spans="2:10">
      <c r="B225" s="1755" t="str">
        <f t="shared" si="17"/>
        <v/>
      </c>
      <c r="C225" s="1749" t="str">
        <f t="shared" si="18"/>
        <v>למ"ר / לדונם</v>
      </c>
      <c r="D225" s="1756">
        <f t="shared" si="18"/>
        <v>0</v>
      </c>
      <c r="E225" s="1749">
        <f t="shared" si="18"/>
        <v>0</v>
      </c>
      <c r="F225" s="1756">
        <f t="shared" si="18"/>
        <v>0</v>
      </c>
      <c r="G225" s="1754">
        <f t="shared" si="18"/>
        <v>0</v>
      </c>
      <c r="H225" s="1756">
        <f t="shared" si="18"/>
        <v>0</v>
      </c>
      <c r="I225" s="1753">
        <f t="shared" si="18"/>
        <v>0</v>
      </c>
      <c r="J225" s="1756">
        <f t="shared" si="18"/>
        <v>0</v>
      </c>
    </row>
    <row r="226" spans="2:10">
      <c r="B226" s="1755" t="str">
        <f t="shared" si="17"/>
        <v/>
      </c>
      <c r="C226" s="1749" t="str">
        <f t="shared" si="18"/>
        <v>למ"ר / לדונם</v>
      </c>
      <c r="D226" s="1756">
        <f t="shared" si="18"/>
        <v>0</v>
      </c>
      <c r="E226" s="1749">
        <f t="shared" si="18"/>
        <v>0</v>
      </c>
      <c r="F226" s="1756">
        <f t="shared" si="18"/>
        <v>0</v>
      </c>
      <c r="G226" s="1754">
        <f t="shared" si="18"/>
        <v>0</v>
      </c>
      <c r="H226" s="1756">
        <f t="shared" si="18"/>
        <v>0</v>
      </c>
      <c r="I226" s="1753">
        <f t="shared" si="18"/>
        <v>0</v>
      </c>
      <c r="J226" s="1756">
        <f t="shared" si="18"/>
        <v>0</v>
      </c>
    </row>
    <row r="227" spans="2:10">
      <c r="B227" s="1755" t="str">
        <f t="shared" si="17"/>
        <v/>
      </c>
      <c r="C227" s="1749" t="str">
        <f t="shared" si="18"/>
        <v>למ"ר / לדונם</v>
      </c>
      <c r="D227" s="1756">
        <f t="shared" si="18"/>
        <v>0</v>
      </c>
      <c r="E227" s="1749">
        <f t="shared" si="18"/>
        <v>0</v>
      </c>
      <c r="F227" s="1756">
        <f t="shared" si="18"/>
        <v>0</v>
      </c>
      <c r="G227" s="1754">
        <f t="shared" si="18"/>
        <v>0</v>
      </c>
      <c r="H227" s="1756">
        <f t="shared" si="18"/>
        <v>0</v>
      </c>
      <c r="I227" s="1753">
        <f t="shared" si="18"/>
        <v>0</v>
      </c>
      <c r="J227" s="1756">
        <f t="shared" si="18"/>
        <v>0</v>
      </c>
    </row>
    <row r="228" spans="2:10">
      <c r="B228" s="1755" t="str">
        <f t="shared" si="17"/>
        <v/>
      </c>
      <c r="C228" s="1749">
        <f t="shared" si="18"/>
        <v>0</v>
      </c>
      <c r="D228" s="1756">
        <f t="shared" si="18"/>
        <v>0</v>
      </c>
      <c r="E228" s="1749">
        <f t="shared" si="18"/>
        <v>0</v>
      </c>
      <c r="F228" s="1756">
        <f t="shared" si="18"/>
        <v>0</v>
      </c>
      <c r="G228" s="1754">
        <f t="shared" si="18"/>
        <v>0</v>
      </c>
      <c r="H228" s="1756">
        <f t="shared" si="18"/>
        <v>0</v>
      </c>
      <c r="I228" s="1753">
        <f t="shared" si="18"/>
        <v>0</v>
      </c>
      <c r="J228" s="1756">
        <f t="shared" si="18"/>
        <v>0</v>
      </c>
    </row>
    <row r="229" spans="2:10" hidden="1">
      <c r="B229" s="1755"/>
      <c r="C229" s="1755"/>
      <c r="D229" s="1757"/>
      <c r="E229" s="1749"/>
      <c r="F229" s="1757"/>
      <c r="G229" s="1754"/>
      <c r="H229" s="1757"/>
      <c r="I229" s="1753"/>
      <c r="J229" s="1757"/>
    </row>
    <row r="230" spans="2:10" hidden="1">
      <c r="B230" s="1755"/>
      <c r="C230" s="1755"/>
      <c r="D230" s="1757"/>
      <c r="E230" s="1749"/>
      <c r="F230" s="1757"/>
      <c r="G230" s="1754"/>
      <c r="H230" s="1757"/>
      <c r="I230" s="1753"/>
      <c r="J230" s="1757"/>
    </row>
    <row r="231" spans="2:10" hidden="1">
      <c r="B231" s="1755"/>
      <c r="C231" s="1755"/>
      <c r="D231" s="1757"/>
      <c r="E231" s="1749"/>
      <c r="F231" s="1757"/>
      <c r="G231" s="1754"/>
      <c r="H231" s="1757"/>
      <c r="I231" s="1753"/>
      <c r="J231" s="1757"/>
    </row>
    <row r="232" spans="2:10" hidden="1">
      <c r="B232" s="1755"/>
      <c r="C232" s="1755"/>
      <c r="D232" s="1757"/>
      <c r="E232" s="1749"/>
      <c r="F232" s="1757"/>
      <c r="G232" s="1754"/>
      <c r="H232" s="1757"/>
      <c r="I232" s="1753"/>
      <c r="J232" s="1757"/>
    </row>
    <row r="233" spans="2:10" hidden="1">
      <c r="B233" s="1755"/>
      <c r="C233" s="1755"/>
      <c r="D233" s="1757"/>
      <c r="E233" s="1749"/>
      <c r="F233" s="1757"/>
      <c r="G233" s="1754"/>
      <c r="H233" s="1757"/>
      <c r="I233" s="1753"/>
      <c r="J233" s="1757"/>
    </row>
    <row r="234" spans="2:10" hidden="1">
      <c r="B234" s="1755"/>
      <c r="C234" s="1755"/>
      <c r="D234" s="1757"/>
      <c r="E234" s="1749"/>
      <c r="F234" s="1757"/>
      <c r="G234" s="1754"/>
      <c r="H234" s="1757"/>
      <c r="I234" s="1753"/>
      <c r="J234" s="1757"/>
    </row>
    <row r="235" spans="2:10" hidden="1">
      <c r="B235" s="1749"/>
      <c r="C235" s="1749"/>
      <c r="D235" s="1749"/>
      <c r="E235" s="1749"/>
      <c r="F235" s="1749"/>
      <c r="G235" s="1758"/>
      <c r="H235" s="1749"/>
      <c r="I235" s="1758"/>
      <c r="J235" s="1749"/>
    </row>
    <row r="236" spans="2:10">
      <c r="B236" s="1749">
        <f t="shared" ref="B236:J236" si="19">B27</f>
        <v>0</v>
      </c>
      <c r="C236" s="1749">
        <f t="shared" si="19"/>
        <v>0</v>
      </c>
      <c r="D236" s="1749">
        <f t="shared" si="19"/>
        <v>0</v>
      </c>
      <c r="E236" s="1749">
        <f t="shared" si="19"/>
        <v>0</v>
      </c>
      <c r="F236" s="1749">
        <f t="shared" si="19"/>
        <v>0</v>
      </c>
      <c r="G236" s="1749">
        <f t="shared" si="19"/>
        <v>0</v>
      </c>
      <c r="H236" s="1749">
        <f t="shared" si="19"/>
        <v>0</v>
      </c>
      <c r="I236" s="1749">
        <f t="shared" si="19"/>
        <v>0</v>
      </c>
      <c r="J236" s="1749">
        <f t="shared" si="19"/>
        <v>0</v>
      </c>
    </row>
    <row r="237" spans="2:10">
      <c r="B237" s="1749" t="str">
        <f>B28</f>
        <v xml:space="preserve">(*)  תעריף המינימום כפי שנקבע בתקנות הסדרים במשק המדינה (ארנונה כללית ברשויות המקומיות בשנת 2015) </v>
      </c>
      <c r="C237" s="1749"/>
      <c r="D237" s="1749"/>
      <c r="E237" s="1749"/>
      <c r="F237" s="1749"/>
      <c r="G237" s="1749"/>
      <c r="H237" s="1749"/>
      <c r="I237" s="1749"/>
      <c r="J237" s="1749"/>
    </row>
    <row r="238" spans="2:10">
      <c r="B238" s="1716">
        <f>B29</f>
        <v>0</v>
      </c>
    </row>
    <row r="239" spans="2:10">
      <c r="B239" s="1716" t="str">
        <f>IF(AND($B30&lt;&gt;"(***)",$B30&lt;&gt;0),$B30,"")</f>
        <v/>
      </c>
    </row>
    <row r="240" spans="2:10">
      <c r="B240" s="1716" t="str">
        <f>IF(AND($B31&lt;&gt;"(***)",$B31&lt;&gt;0),$B31,"")</f>
        <v/>
      </c>
    </row>
    <row r="241" spans="2:2">
      <c r="B241" s="1716" t="str">
        <f>IF(AND($B32&lt;&gt;"(***)",$B32&lt;&gt;0),$B32,"")</f>
        <v/>
      </c>
    </row>
    <row r="242" spans="2:2">
      <c r="B242" s="1716" t="str">
        <f>IF(AND($B33&lt;&gt;"(***)",$B33&lt;&gt;0),$B33,"")</f>
        <v/>
      </c>
    </row>
  </sheetData>
  <sheetProtection password="83C1" sheet="1" objects="1" scenarios="1"/>
  <mergeCells count="6">
    <mergeCell ref="D1:K1"/>
    <mergeCell ref="D2:K2"/>
    <mergeCell ref="D207:F207"/>
    <mergeCell ref="B203:J203"/>
    <mergeCell ref="B202:J202"/>
    <mergeCell ref="D4:F4"/>
  </mergeCells>
  <phoneticPr fontId="4" type="noConversion"/>
  <conditionalFormatting sqref="B8 B10:B25">
    <cfRule type="expression" dxfId="9" priority="2" stopIfTrue="1">
      <formula>($M8=1)</formula>
    </cfRule>
  </conditionalFormatting>
  <conditionalFormatting sqref="B9">
    <cfRule type="expression" dxfId="8" priority="1" stopIfTrue="1">
      <formula>($M9=1)</formula>
    </cfRule>
  </conditionalFormatting>
  <hyperlinks>
    <hyperlink ref="A3" location="'תוכן הענינים'!A1" tooltip="לחץ להצגת גליון תוכן הענינים" display="הצג תוכן ענינים"/>
  </hyperlinks>
  <printOptions horizontalCentered="1"/>
  <pageMargins left="0.62992125984252001" right="0.31496062992126" top="0.75" bottom="0.39370078740157499" header="0.25" footer="3.9370078740157501E-2"/>
  <pageSetup paperSize="9" scale="87" firstPageNumber="27" orientation="portrait" blackAndWhite="1" horizontalDpi="300" verticalDpi="300" r:id="rId1"/>
  <headerFooter alignWithMargins="0">
    <oddHeader>&amp;L&amp;8&amp;A</oddHeader>
    <oddFooter>&amp;C&amp;8&amp;P</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4"/>
  <dimension ref="A1:L267"/>
  <sheetViews>
    <sheetView showGridLines="0" showRowColHeaders="0" showZeros="0" rightToLeft="1" showOutlineSymbols="0" topLeftCell="A10" zoomScale="85" workbookViewId="0">
      <selection activeCell="A3" sqref="A3:B3"/>
    </sheetView>
  </sheetViews>
  <sheetFormatPr defaultColWidth="9.109375" defaultRowHeight="12.75" customHeight="1"/>
  <cols>
    <col min="1" max="1" width="9.109375" style="297"/>
    <col min="2" max="2" width="8.88671875" style="297" customWidth="1"/>
    <col min="3" max="3" width="15.88671875" style="297" customWidth="1"/>
    <col min="4" max="4" width="9.109375" style="297" hidden="1" customWidth="1"/>
    <col min="5" max="8" width="12.33203125" style="297" customWidth="1"/>
    <col min="9" max="9" width="14.109375" style="297" customWidth="1"/>
    <col min="10" max="16384" width="9.109375" style="297"/>
  </cols>
  <sheetData>
    <row r="1" spans="1:12" ht="24" customHeight="1">
      <c r="A1" s="2200"/>
      <c r="B1" s="2200"/>
      <c r="C1" s="2200"/>
      <c r="D1" s="2200"/>
      <c r="E1" s="3458" t="str">
        <f>'הגדרות כלליות'!D6</f>
        <v>עירית הרצליה</v>
      </c>
      <c r="F1" s="3424"/>
      <c r="G1" s="3424"/>
      <c r="H1" s="3424"/>
      <c r="I1" s="3630"/>
      <c r="J1" s="637"/>
    </row>
    <row r="2" spans="1:12" ht="21.75" customHeight="1">
      <c r="A2" s="2200"/>
      <c r="B2" s="2200"/>
      <c r="C2" s="2200"/>
      <c r="D2" s="2200"/>
      <c r="E2" s="3458" t="str">
        <f>CONCATENATE("שינויים מהותיים בין תקציב ",'הגדרות כלליות'!D10," לבין הביצוע בשנת ",'הגדרות כלליות'!D12)</f>
        <v>שינויים מהותיים בין תקציב 2015 לבין הביצוע בשנת 2014</v>
      </c>
      <c r="F2" s="3424"/>
      <c r="G2" s="3424"/>
      <c r="H2" s="3424"/>
      <c r="I2" s="3630"/>
      <c r="J2" s="637"/>
    </row>
    <row r="3" spans="1:12" ht="12.75" customHeight="1">
      <c r="A3" s="3633" t="s">
        <v>339</v>
      </c>
      <c r="B3" s="3634"/>
      <c r="C3" s="670"/>
      <c r="D3" s="670"/>
      <c r="E3" s="670"/>
      <c r="F3" s="670"/>
      <c r="G3" s="670"/>
      <c r="H3" s="670"/>
      <c r="I3" s="645"/>
      <c r="J3" s="637"/>
    </row>
    <row r="4" spans="1:12" ht="30" customHeight="1">
      <c r="A4" s="645"/>
      <c r="B4" s="670"/>
      <c r="C4" s="670"/>
      <c r="D4" s="670"/>
      <c r="E4" s="670"/>
      <c r="F4" s="670"/>
      <c r="G4" s="670"/>
      <c r="H4" s="670"/>
      <c r="I4" s="645"/>
      <c r="J4" s="637"/>
    </row>
    <row r="5" spans="1:12" ht="12.75" customHeight="1">
      <c r="A5" s="645"/>
      <c r="B5" s="2201"/>
      <c r="C5" s="2202"/>
      <c r="D5" s="2203"/>
      <c r="E5" s="198" t="str">
        <f>CONCATENATE("תקציב ",'הגדרות כלליות'!D10)</f>
        <v>תקציב 2015</v>
      </c>
      <c r="F5" s="198" t="str">
        <f>CONCATENATE("ביצוע ",'הגדרות כלליות'!D12)</f>
        <v>ביצוע 2014</v>
      </c>
      <c r="G5" s="198" t="s">
        <v>1168</v>
      </c>
      <c r="H5" s="2204" t="s">
        <v>1169</v>
      </c>
      <c r="I5" s="645"/>
      <c r="J5" s="637"/>
    </row>
    <row r="6" spans="1:12" ht="12.75" customHeight="1">
      <c r="A6" s="645"/>
      <c r="B6" s="1995"/>
      <c r="C6" s="2205"/>
      <c r="D6" s="2205"/>
      <c r="E6" s="2205"/>
      <c r="F6" s="2205" t="s">
        <v>1170</v>
      </c>
      <c r="G6" s="2205"/>
      <c r="H6" s="2206" t="s">
        <v>1085</v>
      </c>
      <c r="I6" s="645"/>
      <c r="J6" s="637"/>
      <c r="K6" s="3186" t="s">
        <v>1595</v>
      </c>
    </row>
    <row r="7" spans="1:12" ht="12.75" customHeight="1">
      <c r="A7" s="645"/>
      <c r="B7" s="2207" t="s">
        <v>1171</v>
      </c>
      <c r="C7" s="2208"/>
      <c r="D7" s="407"/>
      <c r="E7" s="407"/>
      <c r="F7" s="407"/>
      <c r="G7" s="407"/>
      <c r="H7" s="2124"/>
      <c r="I7" s="645"/>
      <c r="J7" s="637"/>
    </row>
    <row r="8" spans="1:12" ht="12.75" customHeight="1">
      <c r="A8" s="645"/>
      <c r="B8" s="2209" t="s">
        <v>400</v>
      </c>
      <c r="C8" s="407"/>
      <c r="D8" s="2210"/>
      <c r="E8" s="2211">
        <f>'טופס 2'!E11</f>
        <v>514500</v>
      </c>
      <c r="F8" s="1920">
        <f>'טופס 2'!I11</f>
        <v>500054</v>
      </c>
      <c r="G8" s="1920">
        <f t="shared" ref="G8:G39" si="0">E8 -F8</f>
        <v>14446</v>
      </c>
      <c r="H8" s="2110">
        <f t="shared" ref="H8:H39" si="1">IF(F8&lt;&gt;0,(G8/F8),0)</f>
        <v>2.8888880000959898E-2</v>
      </c>
      <c r="I8" s="645"/>
      <c r="J8" s="637"/>
      <c r="K8" s="297">
        <v>0.1</v>
      </c>
      <c r="L8" s="3152">
        <v>500</v>
      </c>
    </row>
    <row r="9" spans="1:12" ht="12.75" customHeight="1">
      <c r="A9" s="645"/>
      <c r="B9" s="789" t="s">
        <v>1172</v>
      </c>
      <c r="C9" s="407"/>
      <c r="D9" s="2210"/>
      <c r="E9" s="2211">
        <f>'טופס 2'!E12</f>
        <v>3170</v>
      </c>
      <c r="F9" s="1920">
        <f>'טופס 2'!I12</f>
        <v>2803</v>
      </c>
      <c r="G9" s="1920">
        <f t="shared" si="0"/>
        <v>367</v>
      </c>
      <c r="H9" s="2110">
        <f t="shared" si="1"/>
        <v>0.13093114520156976</v>
      </c>
      <c r="I9" s="645"/>
      <c r="J9" s="637"/>
    </row>
    <row r="10" spans="1:12" ht="12.75" customHeight="1">
      <c r="A10" s="645"/>
      <c r="B10" s="789" t="s">
        <v>1173</v>
      </c>
      <c r="C10" s="407"/>
      <c r="D10" s="2210"/>
      <c r="E10" s="2211">
        <f>'טופס 2'!E13</f>
        <v>0</v>
      </c>
      <c r="F10" s="1920">
        <f>'טופס 2'!I13</f>
        <v>0</v>
      </c>
      <c r="G10" s="1920">
        <f t="shared" si="0"/>
        <v>0</v>
      </c>
      <c r="H10" s="2110">
        <f t="shared" si="1"/>
        <v>0</v>
      </c>
      <c r="I10" s="645"/>
      <c r="J10" s="637"/>
    </row>
    <row r="11" spans="1:12" ht="12.75" customHeight="1">
      <c r="A11" s="645"/>
      <c r="B11" s="789" t="s">
        <v>422</v>
      </c>
      <c r="C11" s="407"/>
      <c r="D11" s="2210"/>
      <c r="E11" s="2211">
        <f>'טופס 2'!E14</f>
        <v>0</v>
      </c>
      <c r="F11" s="1920">
        <f>'טופס 2'!I14</f>
        <v>0</v>
      </c>
      <c r="G11" s="1920">
        <f t="shared" si="0"/>
        <v>0</v>
      </c>
      <c r="H11" s="2110">
        <f t="shared" si="1"/>
        <v>0</v>
      </c>
      <c r="I11" s="645"/>
      <c r="J11" s="637"/>
    </row>
    <row r="12" spans="1:12" ht="12.75" customHeight="1">
      <c r="A12" s="645"/>
      <c r="B12" s="789" t="s">
        <v>1174</v>
      </c>
      <c r="C12" s="407"/>
      <c r="D12" s="2210"/>
      <c r="E12" s="2211">
        <f>'טופס 2'!E15</f>
        <v>0</v>
      </c>
      <c r="F12" s="1920">
        <f>'טופס 2'!I15</f>
        <v>0</v>
      </c>
      <c r="G12" s="1920">
        <f t="shared" si="0"/>
        <v>0</v>
      </c>
      <c r="H12" s="2110">
        <f t="shared" si="1"/>
        <v>0</v>
      </c>
      <c r="I12" s="645"/>
      <c r="J12" s="637"/>
    </row>
    <row r="13" spans="1:12" ht="12.75" customHeight="1">
      <c r="A13" s="645"/>
      <c r="B13" s="789" t="s">
        <v>423</v>
      </c>
      <c r="C13" s="407"/>
      <c r="D13" s="2210"/>
      <c r="E13" s="2211">
        <f>'טופס 2'!E16</f>
        <v>0</v>
      </c>
      <c r="F13" s="1920">
        <f>'טופס 2'!I16</f>
        <v>0</v>
      </c>
      <c r="G13" s="1920">
        <f t="shared" si="0"/>
        <v>0</v>
      </c>
      <c r="H13" s="2110">
        <f t="shared" si="1"/>
        <v>0</v>
      </c>
      <c r="I13" s="645"/>
      <c r="J13" s="637"/>
    </row>
    <row r="14" spans="1:12" ht="12.75" customHeight="1">
      <c r="A14" s="645"/>
      <c r="B14" s="2209" t="s">
        <v>424</v>
      </c>
      <c r="C14" s="407"/>
      <c r="D14" s="2210"/>
      <c r="E14" s="2211">
        <f>'טופס 2'!E17</f>
        <v>0</v>
      </c>
      <c r="F14" s="1920">
        <f>'טופס 2'!I17</f>
        <v>0</v>
      </c>
      <c r="G14" s="1920">
        <f t="shared" si="0"/>
        <v>0</v>
      </c>
      <c r="H14" s="2110">
        <f t="shared" si="1"/>
        <v>0</v>
      </c>
      <c r="I14" s="645"/>
      <c r="J14" s="637"/>
    </row>
    <row r="15" spans="1:12" ht="12.75" customHeight="1">
      <c r="A15" s="645"/>
      <c r="B15" s="2209" t="s">
        <v>427</v>
      </c>
      <c r="C15" s="2212"/>
      <c r="D15" s="2210"/>
      <c r="E15" s="2211">
        <f>'טופס 2'!E21</f>
        <v>5718</v>
      </c>
      <c r="F15" s="1920">
        <f>'טופס 2'!I21</f>
        <v>4023</v>
      </c>
      <c r="G15" s="1920">
        <f t="shared" si="0"/>
        <v>1695</v>
      </c>
      <c r="H15" s="2110">
        <f t="shared" si="1"/>
        <v>0.42132736763609246</v>
      </c>
      <c r="I15" s="645"/>
      <c r="J15" s="637"/>
    </row>
    <row r="16" spans="1:12" ht="12.75" customHeight="1">
      <c r="A16" s="645"/>
      <c r="B16" s="2209" t="s">
        <v>429</v>
      </c>
      <c r="C16" s="2212"/>
      <c r="D16" s="2210"/>
      <c r="E16" s="2211">
        <f>'טופס 2'!E22</f>
        <v>113</v>
      </c>
      <c r="F16" s="1920">
        <f>'טופס 2'!I22</f>
        <v>173</v>
      </c>
      <c r="G16" s="1920">
        <f t="shared" si="0"/>
        <v>-60</v>
      </c>
      <c r="H16" s="2110">
        <f t="shared" si="1"/>
        <v>-0.34682080924855491</v>
      </c>
      <c r="I16" s="645"/>
      <c r="J16" s="637"/>
    </row>
    <row r="17" spans="1:10" ht="12.75" customHeight="1">
      <c r="A17" s="645"/>
      <c r="B17" s="2209" t="s">
        <v>431</v>
      </c>
      <c r="C17" s="2212"/>
      <c r="D17" s="2210"/>
      <c r="E17" s="2211">
        <f>'טופס 2'!E23</f>
        <v>19175</v>
      </c>
      <c r="F17" s="1920">
        <f>'טופס 2'!I23</f>
        <v>13304</v>
      </c>
      <c r="G17" s="1920">
        <f t="shared" si="0"/>
        <v>5871</v>
      </c>
      <c r="H17" s="2110">
        <f t="shared" si="1"/>
        <v>0.44129585087191819</v>
      </c>
      <c r="I17" s="645"/>
      <c r="J17" s="637"/>
    </row>
    <row r="18" spans="1:10" ht="12.75" customHeight="1">
      <c r="A18" s="645"/>
      <c r="B18" s="2209" t="s">
        <v>433</v>
      </c>
      <c r="C18" s="407"/>
      <c r="D18" s="2210"/>
      <c r="E18" s="2211">
        <f>'טופס 2'!E24</f>
        <v>2315</v>
      </c>
      <c r="F18" s="1920">
        <f>'טופס 2'!I24</f>
        <v>2085</v>
      </c>
      <c r="G18" s="1920">
        <f t="shared" si="0"/>
        <v>230</v>
      </c>
      <c r="H18" s="2110">
        <f t="shared" si="1"/>
        <v>0.11031175059952038</v>
      </c>
      <c r="I18" s="645"/>
      <c r="J18" s="637"/>
    </row>
    <row r="19" spans="1:10" ht="12.75" customHeight="1">
      <c r="A19" s="645"/>
      <c r="B19" s="2213" t="s">
        <v>1175</v>
      </c>
      <c r="C19" s="2212"/>
      <c r="D19" s="2210"/>
      <c r="E19" s="2211">
        <f>'טופס 2'!E25</f>
        <v>0</v>
      </c>
      <c r="F19" s="1920">
        <f>'טופס 2'!I25</f>
        <v>0</v>
      </c>
      <c r="G19" s="1920">
        <f t="shared" si="0"/>
        <v>0</v>
      </c>
      <c r="H19" s="2110">
        <f t="shared" si="1"/>
        <v>0</v>
      </c>
      <c r="I19" s="645"/>
      <c r="J19" s="637"/>
    </row>
    <row r="20" spans="1:10" ht="12.75" customHeight="1">
      <c r="A20" s="645"/>
      <c r="B20" s="2209" t="s">
        <v>437</v>
      </c>
      <c r="C20" s="407"/>
      <c r="D20" s="2210"/>
      <c r="E20" s="2211">
        <f>'טופס 2'!E26</f>
        <v>660</v>
      </c>
      <c r="F20" s="1920">
        <f>'טופס 2'!I26</f>
        <v>680</v>
      </c>
      <c r="G20" s="1920">
        <f t="shared" si="0"/>
        <v>-20</v>
      </c>
      <c r="H20" s="2110">
        <f t="shared" si="1"/>
        <v>-2.9411764705882353E-2</v>
      </c>
      <c r="I20" s="645"/>
      <c r="J20" s="637"/>
    </row>
    <row r="21" spans="1:10" ht="12.75" customHeight="1">
      <c r="A21" s="645"/>
      <c r="B21" s="2209" t="s">
        <v>439</v>
      </c>
      <c r="C21" s="2212"/>
      <c r="D21" s="2210"/>
      <c r="E21" s="2211">
        <f>'טופס 2'!E27</f>
        <v>0</v>
      </c>
      <c r="F21" s="1920">
        <f>'טופס 2'!I27</f>
        <v>0</v>
      </c>
      <c r="G21" s="1920">
        <f t="shared" si="0"/>
        <v>0</v>
      </c>
      <c r="H21" s="2110">
        <f t="shared" si="1"/>
        <v>0</v>
      </c>
      <c r="I21" s="645"/>
      <c r="J21" s="637"/>
    </row>
    <row r="22" spans="1:10" ht="12.75" customHeight="1">
      <c r="A22" s="645"/>
      <c r="B22" s="2209" t="s">
        <v>441</v>
      </c>
      <c r="C22" s="2212"/>
      <c r="D22" s="2210"/>
      <c r="E22" s="2211">
        <f>'טופס 2'!E28</f>
        <v>1700</v>
      </c>
      <c r="F22" s="1920">
        <f>'טופס 2'!I28</f>
        <v>1778</v>
      </c>
      <c r="G22" s="1920">
        <f t="shared" si="0"/>
        <v>-78</v>
      </c>
      <c r="H22" s="2110">
        <f t="shared" si="1"/>
        <v>-4.3869516310461196E-2</v>
      </c>
      <c r="I22" s="645"/>
      <c r="J22" s="637"/>
    </row>
    <row r="23" spans="1:10" ht="12.75" customHeight="1">
      <c r="A23" s="645"/>
      <c r="B23" s="2209" t="s">
        <v>443</v>
      </c>
      <c r="C23" s="2212"/>
      <c r="D23" s="2210"/>
      <c r="E23" s="2211">
        <f>'טופס 2'!E29</f>
        <v>50</v>
      </c>
      <c r="F23" s="1920">
        <f>'טופס 2'!I29</f>
        <v>65</v>
      </c>
      <c r="G23" s="1920">
        <f t="shared" si="0"/>
        <v>-15</v>
      </c>
      <c r="H23" s="2110">
        <f t="shared" si="1"/>
        <v>-0.23076923076923078</v>
      </c>
      <c r="I23" s="645"/>
      <c r="J23" s="637"/>
    </row>
    <row r="24" spans="1:10" ht="12.75" customHeight="1">
      <c r="A24" s="645"/>
      <c r="B24" s="2209" t="s">
        <v>447</v>
      </c>
      <c r="C24" s="407"/>
      <c r="D24" s="2210"/>
      <c r="E24" s="2211">
        <f>'טופס 2'!E33</f>
        <v>145333</v>
      </c>
      <c r="F24" s="1920">
        <f>'טופס 2'!I33</f>
        <v>139083</v>
      </c>
      <c r="G24" s="1920">
        <f t="shared" si="0"/>
        <v>6250</v>
      </c>
      <c r="H24" s="2110">
        <f t="shared" si="1"/>
        <v>4.4937195775184603E-2</v>
      </c>
      <c r="I24" s="645"/>
      <c r="J24" s="637"/>
    </row>
    <row r="25" spans="1:10" ht="12.75" customHeight="1">
      <c r="A25" s="645"/>
      <c r="B25" s="2209" t="s">
        <v>449</v>
      </c>
      <c r="C25" s="407"/>
      <c r="D25" s="2210"/>
      <c r="E25" s="2211">
        <f>'טופס 2'!E34</f>
        <v>3434</v>
      </c>
      <c r="F25" s="1920">
        <f>'טופס 2'!I34</f>
        <v>2727</v>
      </c>
      <c r="G25" s="1920">
        <f t="shared" si="0"/>
        <v>707</v>
      </c>
      <c r="H25" s="2110">
        <f t="shared" si="1"/>
        <v>0.25925925925925924</v>
      </c>
      <c r="I25" s="645"/>
      <c r="J25" s="637"/>
    </row>
    <row r="26" spans="1:10" ht="12.75" customHeight="1">
      <c r="A26" s="645"/>
      <c r="B26" s="2209" t="s">
        <v>451</v>
      </c>
      <c r="C26" s="407"/>
      <c r="D26" s="2210"/>
      <c r="E26" s="2211">
        <f>'טופס 2'!E35</f>
        <v>0</v>
      </c>
      <c r="F26" s="1920">
        <f>'טופס 2'!I35</f>
        <v>0</v>
      </c>
      <c r="G26" s="1920">
        <f t="shared" si="0"/>
        <v>0</v>
      </c>
      <c r="H26" s="2110">
        <f t="shared" si="1"/>
        <v>0</v>
      </c>
      <c r="I26" s="645"/>
      <c r="J26" s="637"/>
    </row>
    <row r="27" spans="1:10" ht="12.75" customHeight="1">
      <c r="A27" s="645"/>
      <c r="B27" s="2209" t="s">
        <v>453</v>
      </c>
      <c r="C27" s="407"/>
      <c r="D27" s="2210"/>
      <c r="E27" s="2211">
        <f>'טופס 2'!E36</f>
        <v>54654</v>
      </c>
      <c r="F27" s="1920">
        <f>'טופס 2'!I36</f>
        <v>49943</v>
      </c>
      <c r="G27" s="1920">
        <f t="shared" si="0"/>
        <v>4711</v>
      </c>
      <c r="H27" s="2110">
        <f t="shared" si="1"/>
        <v>9.4327533388062393E-2</v>
      </c>
      <c r="I27" s="645"/>
      <c r="J27" s="637"/>
    </row>
    <row r="28" spans="1:10" ht="12.75" customHeight="1">
      <c r="A28" s="645"/>
      <c r="B28" s="2209" t="s">
        <v>455</v>
      </c>
      <c r="C28" s="407"/>
      <c r="D28" s="2210"/>
      <c r="E28" s="2211">
        <f>'טופס 2'!E37</f>
        <v>0</v>
      </c>
      <c r="F28" s="1920">
        <f>'טופס 2'!I37</f>
        <v>0</v>
      </c>
      <c r="G28" s="1920">
        <f t="shared" si="0"/>
        <v>0</v>
      </c>
      <c r="H28" s="2110">
        <f t="shared" si="1"/>
        <v>0</v>
      </c>
      <c r="I28" s="645"/>
      <c r="J28" s="637"/>
    </row>
    <row r="29" spans="1:10" ht="12.75" customHeight="1">
      <c r="A29" s="645"/>
      <c r="B29" s="2209" t="s">
        <v>1176</v>
      </c>
      <c r="C29" s="407"/>
      <c r="D29" s="2210"/>
      <c r="E29" s="2211">
        <f>'טופס 2'!E38</f>
        <v>125</v>
      </c>
      <c r="F29" s="1920">
        <f>'טופס 2'!I38</f>
        <v>142</v>
      </c>
      <c r="G29" s="1920">
        <f t="shared" si="0"/>
        <v>-17</v>
      </c>
      <c r="H29" s="2110">
        <f t="shared" si="1"/>
        <v>-0.11971830985915492</v>
      </c>
      <c r="I29" s="645"/>
      <c r="J29" s="637"/>
    </row>
    <row r="30" spans="1:10" ht="12.75" customHeight="1">
      <c r="A30" s="645"/>
      <c r="B30" s="2209" t="s">
        <v>459</v>
      </c>
      <c r="C30" s="407"/>
      <c r="D30" s="2210"/>
      <c r="E30" s="2211">
        <f>'טופס 2'!E39</f>
        <v>169</v>
      </c>
      <c r="F30" s="1920">
        <f>'טופס 2'!I39</f>
        <v>188</v>
      </c>
      <c r="G30" s="1920">
        <f t="shared" si="0"/>
        <v>-19</v>
      </c>
      <c r="H30" s="2110">
        <f t="shared" si="1"/>
        <v>-0.10106382978723404</v>
      </c>
      <c r="I30" s="645"/>
      <c r="J30" s="637"/>
    </row>
    <row r="31" spans="1:10" ht="12.75" customHeight="1">
      <c r="A31" s="645"/>
      <c r="B31" s="2209" t="s">
        <v>463</v>
      </c>
      <c r="C31" s="407"/>
      <c r="D31" s="2210"/>
      <c r="E31" s="2211">
        <f>'טופס 2'!E43</f>
        <v>2610</v>
      </c>
      <c r="F31" s="1920">
        <f>'טופס 2'!I43</f>
        <v>2858</v>
      </c>
      <c r="G31" s="1920">
        <f t="shared" si="0"/>
        <v>-248</v>
      </c>
      <c r="H31" s="2110">
        <f t="shared" si="1"/>
        <v>-8.6773967809657099E-2</v>
      </c>
      <c r="I31" s="645"/>
      <c r="J31" s="637"/>
    </row>
    <row r="32" spans="1:10" ht="12.75" customHeight="1">
      <c r="A32" s="645"/>
      <c r="B32" s="2209" t="s">
        <v>465</v>
      </c>
      <c r="C32" s="407"/>
      <c r="D32" s="2210"/>
      <c r="E32" s="2211">
        <f>'טופס 2'!E44</f>
        <v>0</v>
      </c>
      <c r="F32" s="1920">
        <f>'טופס 2'!I44</f>
        <v>0</v>
      </c>
      <c r="G32" s="1920">
        <f t="shared" si="0"/>
        <v>0</v>
      </c>
      <c r="H32" s="2110">
        <f t="shared" si="1"/>
        <v>0</v>
      </c>
      <c r="I32" s="645"/>
      <c r="J32" s="637"/>
    </row>
    <row r="33" spans="1:10" ht="12.75" customHeight="1">
      <c r="A33" s="645"/>
      <c r="B33" s="2209" t="s">
        <v>467</v>
      </c>
      <c r="C33" s="407"/>
      <c r="D33" s="2210"/>
      <c r="E33" s="2211">
        <f>'טופס 2'!E45</f>
        <v>7590</v>
      </c>
      <c r="F33" s="1920">
        <f>'טופס 2'!I45</f>
        <v>7495</v>
      </c>
      <c r="G33" s="1920">
        <f t="shared" si="0"/>
        <v>95</v>
      </c>
      <c r="H33" s="2110">
        <f t="shared" si="1"/>
        <v>1.2675116744496331E-2</v>
      </c>
      <c r="I33" s="645"/>
      <c r="J33" s="637"/>
    </row>
    <row r="34" spans="1:10" ht="12.75" customHeight="1">
      <c r="A34" s="645"/>
      <c r="B34" s="2209" t="s">
        <v>469</v>
      </c>
      <c r="C34" s="407"/>
      <c r="D34" s="2210"/>
      <c r="E34" s="2211">
        <f>'טופס 2'!E46</f>
        <v>24775</v>
      </c>
      <c r="F34" s="1920">
        <f>'טופס 2'!I46</f>
        <v>23349</v>
      </c>
      <c r="G34" s="1920">
        <f t="shared" si="0"/>
        <v>1426</v>
      </c>
      <c r="H34" s="2110">
        <f t="shared" si="1"/>
        <v>6.107327936956615E-2</v>
      </c>
      <c r="I34" s="645"/>
      <c r="J34" s="637"/>
    </row>
    <row r="35" spans="1:10" ht="12.75" customHeight="1">
      <c r="A35" s="645"/>
      <c r="B35" s="2209" t="s">
        <v>471</v>
      </c>
      <c r="C35" s="407"/>
      <c r="D35" s="2210"/>
      <c r="E35" s="2211">
        <f>'טופס 2'!E47</f>
        <v>0</v>
      </c>
      <c r="F35" s="1920">
        <f>'טופס 2'!I47</f>
        <v>0</v>
      </c>
      <c r="G35" s="1920">
        <f t="shared" si="0"/>
        <v>0</v>
      </c>
      <c r="H35" s="2110">
        <f t="shared" si="1"/>
        <v>0</v>
      </c>
      <c r="I35" s="645"/>
      <c r="J35" s="637"/>
    </row>
    <row r="36" spans="1:10" ht="12.75" customHeight="1">
      <c r="A36" s="645"/>
      <c r="B36" s="2209" t="s">
        <v>473</v>
      </c>
      <c r="C36" s="407"/>
      <c r="D36" s="2210"/>
      <c r="E36" s="2211">
        <f>'טופס 2'!E48</f>
        <v>0</v>
      </c>
      <c r="F36" s="1920">
        <f>'טופס 2'!I48</f>
        <v>0</v>
      </c>
      <c r="G36" s="1920">
        <f t="shared" si="0"/>
        <v>0</v>
      </c>
      <c r="H36" s="2110">
        <f t="shared" si="1"/>
        <v>0</v>
      </c>
      <c r="I36" s="645"/>
      <c r="J36" s="637"/>
    </row>
    <row r="37" spans="1:10" ht="12.75" customHeight="1">
      <c r="A37" s="645"/>
      <c r="B37" s="2209" t="s">
        <v>475</v>
      </c>
      <c r="C37" s="407"/>
      <c r="D37" s="2210"/>
      <c r="E37" s="2211">
        <f>'טופס 2'!E49</f>
        <v>11610</v>
      </c>
      <c r="F37" s="1920">
        <f>'טופס 2'!I49</f>
        <v>11533</v>
      </c>
      <c r="G37" s="1920">
        <f t="shared" si="0"/>
        <v>77</v>
      </c>
      <c r="H37" s="2110">
        <f t="shared" si="1"/>
        <v>6.6764935402757308E-3</v>
      </c>
      <c r="I37" s="645"/>
      <c r="J37" s="637"/>
    </row>
    <row r="38" spans="1:10" ht="12.75" customHeight="1">
      <c r="A38" s="645"/>
      <c r="B38" s="2209" t="s">
        <v>476</v>
      </c>
      <c r="C38" s="407"/>
      <c r="D38" s="2210"/>
      <c r="E38" s="2211">
        <f>'טופס 2'!E50</f>
        <v>0</v>
      </c>
      <c r="F38" s="1920">
        <f>'טופס 2'!I50</f>
        <v>0</v>
      </c>
      <c r="G38" s="1920">
        <f t="shared" si="0"/>
        <v>0</v>
      </c>
      <c r="H38" s="2110">
        <f t="shared" si="1"/>
        <v>0</v>
      </c>
      <c r="I38" s="645"/>
      <c r="J38" s="637"/>
    </row>
    <row r="39" spans="1:10" ht="12.75" customHeight="1">
      <c r="A39" s="645"/>
      <c r="B39" s="3631" t="s">
        <v>1177</v>
      </c>
      <c r="C39" s="3632"/>
      <c r="D39" s="2210"/>
      <c r="E39" s="2211">
        <f>'טופס 2'!E53</f>
        <v>38524</v>
      </c>
      <c r="F39" s="1920">
        <f>'טופס 2'!I53</f>
        <v>33412</v>
      </c>
      <c r="G39" s="1920">
        <f t="shared" si="0"/>
        <v>5112</v>
      </c>
      <c r="H39" s="2110">
        <f t="shared" si="1"/>
        <v>0.15299892254279898</v>
      </c>
      <c r="I39" s="645"/>
      <c r="J39" s="637"/>
    </row>
    <row r="40" spans="1:10" ht="12.75" customHeight="1">
      <c r="A40" s="645"/>
      <c r="B40" s="774" t="s">
        <v>1178</v>
      </c>
      <c r="C40" s="407"/>
      <c r="D40" s="2214"/>
      <c r="E40" s="2215"/>
      <c r="F40" s="407"/>
      <c r="G40" s="407"/>
      <c r="H40" s="2216"/>
      <c r="I40" s="645"/>
      <c r="J40" s="637"/>
    </row>
    <row r="41" spans="1:10" ht="12.75" customHeight="1">
      <c r="A41" s="645"/>
      <c r="B41" s="2217" t="s">
        <v>417</v>
      </c>
      <c r="C41" s="407"/>
      <c r="D41" s="2210"/>
      <c r="E41" s="2211">
        <f>'טופס 2'!N11</f>
        <v>29643</v>
      </c>
      <c r="F41" s="1920">
        <f>'טופס 2'!R11</f>
        <v>27289</v>
      </c>
      <c r="G41" s="1920">
        <f t="shared" ref="G41:G69" si="2">(E41 -F41)</f>
        <v>2354</v>
      </c>
      <c r="H41" s="2110">
        <f t="shared" ref="H41:H69" si="3">IF(F41&lt;&gt;0,(G41/F41),0)</f>
        <v>8.6261863754626411E-2</v>
      </c>
      <c r="I41" s="645"/>
      <c r="J41" s="637"/>
    </row>
    <row r="42" spans="1:10" ht="12.75" customHeight="1">
      <c r="A42" s="645"/>
      <c r="B42" s="2217" t="s">
        <v>419</v>
      </c>
      <c r="C42" s="407"/>
      <c r="D42" s="2210"/>
      <c r="E42" s="2211">
        <f>'טופס 2'!N12</f>
        <v>18995</v>
      </c>
      <c r="F42" s="1920">
        <f>'טופס 2'!R12</f>
        <v>16253</v>
      </c>
      <c r="G42" s="1920">
        <f t="shared" si="2"/>
        <v>2742</v>
      </c>
      <c r="H42" s="2110">
        <f t="shared" si="3"/>
        <v>0.1687073155725097</v>
      </c>
      <c r="I42" s="645"/>
      <c r="J42" s="637"/>
    </row>
    <row r="43" spans="1:10" ht="12.75" customHeight="1">
      <c r="A43" s="645"/>
      <c r="B43" s="2217" t="s">
        <v>421</v>
      </c>
      <c r="C43" s="407"/>
      <c r="D43" s="2210"/>
      <c r="E43" s="2211">
        <f>'טופס 2'!N13</f>
        <v>2910</v>
      </c>
      <c r="F43" s="1920">
        <f>'טופס 2'!R13</f>
        <v>2503</v>
      </c>
      <c r="G43" s="1920">
        <f t="shared" si="2"/>
        <v>407</v>
      </c>
      <c r="H43" s="2110">
        <f t="shared" si="3"/>
        <v>0.16260487415101879</v>
      </c>
      <c r="I43" s="645"/>
      <c r="J43" s="637"/>
    </row>
    <row r="44" spans="1:10" ht="12.75" customHeight="1">
      <c r="A44" s="645"/>
      <c r="B44" s="2217" t="s">
        <v>1179</v>
      </c>
      <c r="C44" s="407"/>
      <c r="D44" s="2210"/>
      <c r="E44" s="2211">
        <f>'טופס 2'!N14</f>
        <v>26350</v>
      </c>
      <c r="F44" s="1920">
        <f>'טופס 2'!R14</f>
        <v>30031</v>
      </c>
      <c r="G44" s="1920">
        <f t="shared" si="2"/>
        <v>-3681</v>
      </c>
      <c r="H44" s="2110">
        <f t="shared" si="3"/>
        <v>-0.12257334088108954</v>
      </c>
      <c r="I44" s="645"/>
      <c r="J44" s="637"/>
    </row>
    <row r="45" spans="1:10" ht="12.75" customHeight="1">
      <c r="A45" s="645"/>
      <c r="B45" s="2209" t="s">
        <v>428</v>
      </c>
      <c r="C45" s="2212"/>
      <c r="D45" s="2210"/>
      <c r="E45" s="2211">
        <f>'טופס 2'!N21</f>
        <v>68921</v>
      </c>
      <c r="F45" s="1920">
        <f>'טופס 2'!R21</f>
        <v>64817</v>
      </c>
      <c r="G45" s="1920">
        <f t="shared" si="2"/>
        <v>4104</v>
      </c>
      <c r="H45" s="2110">
        <f t="shared" si="3"/>
        <v>6.331672246478548E-2</v>
      </c>
      <c r="I45" s="645"/>
      <c r="J45" s="637"/>
    </row>
    <row r="46" spans="1:10" ht="12.75" customHeight="1">
      <c r="A46" s="645"/>
      <c r="B46" s="2209" t="s">
        <v>430</v>
      </c>
      <c r="C46" s="2212"/>
      <c r="D46" s="2210"/>
      <c r="E46" s="2211">
        <f>'טופס 2'!N22</f>
        <v>12831</v>
      </c>
      <c r="F46" s="1920">
        <f>'טופס 2'!R22</f>
        <v>11709</v>
      </c>
      <c r="G46" s="1920">
        <f t="shared" si="2"/>
        <v>1122</v>
      </c>
      <c r="H46" s="2110">
        <f t="shared" si="3"/>
        <v>9.5823725339482455E-2</v>
      </c>
      <c r="I46" s="645"/>
      <c r="J46" s="637"/>
    </row>
    <row r="47" spans="1:10" ht="12.75" customHeight="1">
      <c r="A47" s="645"/>
      <c r="B47" s="2209" t="s">
        <v>432</v>
      </c>
      <c r="C47" s="2212"/>
      <c r="D47" s="2210"/>
      <c r="E47" s="2211">
        <f>'טופס 2'!N23</f>
        <v>15931</v>
      </c>
      <c r="F47" s="1920">
        <f>'טופס 2'!R23</f>
        <v>13409</v>
      </c>
      <c r="G47" s="1920">
        <f t="shared" si="2"/>
        <v>2522</v>
      </c>
      <c r="H47" s="2110">
        <f t="shared" si="3"/>
        <v>0.18808263106868522</v>
      </c>
      <c r="I47" s="645"/>
      <c r="J47" s="637"/>
    </row>
    <row r="48" spans="1:10" ht="12.75" customHeight="1">
      <c r="A48" s="645"/>
      <c r="B48" s="2209" t="s">
        <v>434</v>
      </c>
      <c r="C48" s="407"/>
      <c r="D48" s="2210"/>
      <c r="E48" s="2211">
        <f>'טופס 2'!N24</f>
        <v>57934</v>
      </c>
      <c r="F48" s="1920">
        <f>'טופס 2'!R24</f>
        <v>53872</v>
      </c>
      <c r="G48" s="1920">
        <f t="shared" si="2"/>
        <v>4062</v>
      </c>
      <c r="H48" s="2110">
        <f t="shared" si="3"/>
        <v>7.5400950400950406E-2</v>
      </c>
      <c r="I48" s="645"/>
      <c r="J48" s="637"/>
    </row>
    <row r="49" spans="1:10" ht="12.75" customHeight="1">
      <c r="A49" s="645"/>
      <c r="B49" s="2213" t="s">
        <v>1180</v>
      </c>
      <c r="C49" s="2212"/>
      <c r="D49" s="2210"/>
      <c r="E49" s="2211">
        <f>'טופס 2'!N25</f>
        <v>1723</v>
      </c>
      <c r="F49" s="1920">
        <f>'טופס 2'!R25</f>
        <v>1375</v>
      </c>
      <c r="G49" s="1920">
        <f t="shared" si="2"/>
        <v>348</v>
      </c>
      <c r="H49" s="2110">
        <f t="shared" si="3"/>
        <v>0.25309090909090909</v>
      </c>
      <c r="I49" s="645"/>
      <c r="J49" s="637"/>
    </row>
    <row r="50" spans="1:10" ht="12.75" customHeight="1">
      <c r="A50" s="645"/>
      <c r="B50" s="2209" t="s">
        <v>438</v>
      </c>
      <c r="C50" s="407"/>
      <c r="D50" s="2210"/>
      <c r="E50" s="2211">
        <f>'טופס 2'!N26</f>
        <v>15903</v>
      </c>
      <c r="F50" s="1920">
        <f>'טופס 2'!R26</f>
        <v>13567</v>
      </c>
      <c r="G50" s="1920">
        <f t="shared" si="2"/>
        <v>2336</v>
      </c>
      <c r="H50" s="2110">
        <f t="shared" si="3"/>
        <v>0.1721825016584359</v>
      </c>
      <c r="I50" s="645"/>
      <c r="J50" s="637"/>
    </row>
    <row r="51" spans="1:10" ht="12.75" customHeight="1">
      <c r="A51" s="645"/>
      <c r="B51" s="2209" t="s">
        <v>440</v>
      </c>
      <c r="C51" s="2212"/>
      <c r="D51" s="2210"/>
      <c r="E51" s="2211">
        <f>'טופס 2'!N27</f>
        <v>926</v>
      </c>
      <c r="F51" s="1920">
        <f>'טופס 2'!R27</f>
        <v>657</v>
      </c>
      <c r="G51" s="1920">
        <f t="shared" si="2"/>
        <v>269</v>
      </c>
      <c r="H51" s="2110">
        <f t="shared" si="3"/>
        <v>0.40943683409436832</v>
      </c>
      <c r="I51" s="645"/>
      <c r="J51" s="637"/>
    </row>
    <row r="52" spans="1:10" ht="12.75" customHeight="1">
      <c r="A52" s="645"/>
      <c r="B52" s="2209" t="s">
        <v>442</v>
      </c>
      <c r="C52" s="2212"/>
      <c r="D52" s="2210"/>
      <c r="E52" s="2211">
        <f>'טופס 2'!N28</f>
        <v>8871</v>
      </c>
      <c r="F52" s="1920">
        <f>'טופס 2'!R28</f>
        <v>8250</v>
      </c>
      <c r="G52" s="1920">
        <f t="shared" si="2"/>
        <v>621</v>
      </c>
      <c r="H52" s="2110">
        <f t="shared" si="3"/>
        <v>7.5272727272727269E-2</v>
      </c>
      <c r="I52" s="645"/>
      <c r="J52" s="637"/>
    </row>
    <row r="53" spans="1:10" ht="12.75" customHeight="1">
      <c r="A53" s="645"/>
      <c r="B53" s="2209" t="s">
        <v>444</v>
      </c>
      <c r="C53" s="2212"/>
      <c r="D53" s="2210"/>
      <c r="E53" s="2211">
        <f>'טופס 2'!N29</f>
        <v>34</v>
      </c>
      <c r="F53" s="1920">
        <f>'טופס 2'!R29</f>
        <v>43</v>
      </c>
      <c r="G53" s="1920">
        <f t="shared" si="2"/>
        <v>-9</v>
      </c>
      <c r="H53" s="2110">
        <f t="shared" si="3"/>
        <v>-0.20930232558139536</v>
      </c>
      <c r="I53" s="645"/>
      <c r="J53" s="637"/>
    </row>
    <row r="54" spans="1:10" ht="12.75" customHeight="1">
      <c r="A54" s="645"/>
      <c r="B54" s="2209" t="s">
        <v>448</v>
      </c>
      <c r="C54" s="407"/>
      <c r="D54" s="2210"/>
      <c r="E54" s="2211">
        <f>'טופס 2'!N33</f>
        <v>269332</v>
      </c>
      <c r="F54" s="1920">
        <f>'טופס 2'!R33</f>
        <v>246128</v>
      </c>
      <c r="G54" s="1920">
        <f t="shared" si="2"/>
        <v>23204</v>
      </c>
      <c r="H54" s="2110">
        <f t="shared" si="3"/>
        <v>9.4276148995644543E-2</v>
      </c>
      <c r="I54" s="645"/>
      <c r="J54" s="637"/>
    </row>
    <row r="55" spans="1:10" ht="12.75" customHeight="1">
      <c r="A55" s="645"/>
      <c r="B55" s="2209" t="s">
        <v>450</v>
      </c>
      <c r="C55" s="407"/>
      <c r="D55" s="2210"/>
      <c r="E55" s="2211">
        <f>'טופס 2'!N34</f>
        <v>70277</v>
      </c>
      <c r="F55" s="1920">
        <f>'טופס 2'!R34</f>
        <v>64251</v>
      </c>
      <c r="G55" s="1920">
        <f t="shared" si="2"/>
        <v>6026</v>
      </c>
      <c r="H55" s="2110">
        <f t="shared" si="3"/>
        <v>9.3788423526482076E-2</v>
      </c>
      <c r="I55" s="645"/>
      <c r="J55" s="637"/>
    </row>
    <row r="56" spans="1:10" ht="12.75" customHeight="1">
      <c r="A56" s="645"/>
      <c r="B56" s="2209" t="s">
        <v>452</v>
      </c>
      <c r="C56" s="407"/>
      <c r="D56" s="2210"/>
      <c r="E56" s="2211">
        <f>'טופס 2'!N35</f>
        <v>1995</v>
      </c>
      <c r="F56" s="1920">
        <f>'טופס 2'!R35</f>
        <v>1590</v>
      </c>
      <c r="G56" s="1920">
        <f t="shared" si="2"/>
        <v>405</v>
      </c>
      <c r="H56" s="2110">
        <f t="shared" si="3"/>
        <v>0.25471698113207547</v>
      </c>
      <c r="I56" s="645"/>
      <c r="J56" s="637"/>
    </row>
    <row r="57" spans="1:10" ht="12.75" customHeight="1">
      <c r="A57" s="645"/>
      <c r="B57" s="2209" t="s">
        <v>454</v>
      </c>
      <c r="C57" s="407"/>
      <c r="D57" s="2210"/>
      <c r="E57" s="2211">
        <f>'טופס 2'!N36</f>
        <v>91463</v>
      </c>
      <c r="F57" s="1920">
        <f>'טופס 2'!R36</f>
        <v>81945</v>
      </c>
      <c r="G57" s="1920">
        <f t="shared" si="2"/>
        <v>9518</v>
      </c>
      <c r="H57" s="2110">
        <f t="shared" si="3"/>
        <v>0.11615107694185124</v>
      </c>
      <c r="I57" s="645"/>
      <c r="J57" s="637"/>
    </row>
    <row r="58" spans="1:10" ht="12.75" customHeight="1">
      <c r="A58" s="645"/>
      <c r="B58" s="2209" t="s">
        <v>1181</v>
      </c>
      <c r="C58" s="407"/>
      <c r="D58" s="2210"/>
      <c r="E58" s="2211">
        <f>'טופס 2'!N37</f>
        <v>6445</v>
      </c>
      <c r="F58" s="1920">
        <f>'טופס 2'!R37</f>
        <v>6385</v>
      </c>
      <c r="G58" s="1920">
        <f t="shared" si="2"/>
        <v>60</v>
      </c>
      <c r="H58" s="2110">
        <f t="shared" si="3"/>
        <v>9.3970242756460463E-3</v>
      </c>
      <c r="I58" s="645"/>
      <c r="J58" s="637"/>
    </row>
    <row r="59" spans="1:10" ht="12.75" customHeight="1">
      <c r="A59" s="645"/>
      <c r="B59" s="2209" t="s">
        <v>1182</v>
      </c>
      <c r="C59" s="407"/>
      <c r="D59" s="2210"/>
      <c r="E59" s="2211">
        <f>'טופס 2'!N38</f>
        <v>424</v>
      </c>
      <c r="F59" s="1920">
        <f>'טופס 2'!R38</f>
        <v>355</v>
      </c>
      <c r="G59" s="1920">
        <f t="shared" si="2"/>
        <v>69</v>
      </c>
      <c r="H59" s="2110">
        <f t="shared" si="3"/>
        <v>0.19436619718309858</v>
      </c>
      <c r="I59" s="645"/>
      <c r="J59" s="637"/>
    </row>
    <row r="60" spans="1:10" ht="12.75" customHeight="1">
      <c r="A60" s="645"/>
      <c r="B60" s="2209" t="s">
        <v>460</v>
      </c>
      <c r="C60" s="407"/>
      <c r="D60" s="2210"/>
      <c r="E60" s="2211">
        <f>'טופס 2'!N39</f>
        <v>2193</v>
      </c>
      <c r="F60" s="1920">
        <f>'טופס 2'!R39</f>
        <v>1709</v>
      </c>
      <c r="G60" s="1920">
        <f t="shared" si="2"/>
        <v>484</v>
      </c>
      <c r="H60" s="2110">
        <f t="shared" si="3"/>
        <v>0.2832065535400819</v>
      </c>
      <c r="I60" s="645"/>
      <c r="J60" s="637"/>
    </row>
    <row r="61" spans="1:10" ht="12.75" customHeight="1">
      <c r="A61" s="645"/>
      <c r="B61" s="2209" t="s">
        <v>464</v>
      </c>
      <c r="C61" s="407"/>
      <c r="D61" s="2210"/>
      <c r="E61" s="2211">
        <f>'טופס 2'!N43</f>
        <v>2750</v>
      </c>
      <c r="F61" s="1920">
        <f>'טופס 2'!R43</f>
        <v>2511</v>
      </c>
      <c r="G61" s="1920">
        <f t="shared" si="2"/>
        <v>239</v>
      </c>
      <c r="H61" s="2110">
        <f t="shared" si="3"/>
        <v>9.5181202708084431E-2</v>
      </c>
      <c r="I61" s="645"/>
      <c r="J61" s="637"/>
    </row>
    <row r="62" spans="1:10" ht="12.75" customHeight="1">
      <c r="A62" s="645"/>
      <c r="B62" s="2209" t="s">
        <v>466</v>
      </c>
      <c r="C62" s="407"/>
      <c r="D62" s="2210"/>
      <c r="E62" s="2211">
        <f>'טופס 2'!N44</f>
        <v>0</v>
      </c>
      <c r="F62" s="1920">
        <f>'טופס 2'!R44</f>
        <v>0</v>
      </c>
      <c r="G62" s="1920">
        <f t="shared" si="2"/>
        <v>0</v>
      </c>
      <c r="H62" s="2110">
        <f t="shared" si="3"/>
        <v>0</v>
      </c>
      <c r="I62" s="645"/>
      <c r="J62" s="637"/>
    </row>
    <row r="63" spans="1:10" ht="12.75" customHeight="1">
      <c r="A63" s="645"/>
      <c r="B63" s="2209" t="s">
        <v>468</v>
      </c>
      <c r="C63" s="407"/>
      <c r="D63" s="2210"/>
      <c r="E63" s="2211">
        <f>'טופס 2'!N45</f>
        <v>17944</v>
      </c>
      <c r="F63" s="1920">
        <f>'טופס 2'!R45</f>
        <v>17253</v>
      </c>
      <c r="G63" s="1920">
        <f t="shared" si="2"/>
        <v>691</v>
      </c>
      <c r="H63" s="2110">
        <f t="shared" si="3"/>
        <v>4.0051005622210631E-2</v>
      </c>
      <c r="I63" s="645"/>
      <c r="J63" s="637"/>
    </row>
    <row r="64" spans="1:10" ht="12.75" customHeight="1">
      <c r="A64" s="645"/>
      <c r="B64" s="2209" t="s">
        <v>470</v>
      </c>
      <c r="C64" s="407"/>
      <c r="D64" s="2210"/>
      <c r="E64" s="2211">
        <f>'טופס 2'!N46</f>
        <v>3951</v>
      </c>
      <c r="F64" s="1920">
        <f>'טופס 2'!R46</f>
        <v>3157</v>
      </c>
      <c r="G64" s="1920">
        <f t="shared" si="2"/>
        <v>794</v>
      </c>
      <c r="H64" s="2110">
        <f t="shared" si="3"/>
        <v>0.25150459296800759</v>
      </c>
      <c r="I64" s="645"/>
      <c r="J64" s="637"/>
    </row>
    <row r="65" spans="1:10" ht="12.75" customHeight="1">
      <c r="A65" s="645"/>
      <c r="B65" s="2209" t="s">
        <v>472</v>
      </c>
      <c r="C65" s="407"/>
      <c r="D65" s="2210"/>
      <c r="E65" s="2211">
        <f>'טופס 2'!N47</f>
        <v>0</v>
      </c>
      <c r="F65" s="1920">
        <f>'טופס 2'!R47</f>
        <v>0</v>
      </c>
      <c r="G65" s="1920">
        <f t="shared" si="2"/>
        <v>0</v>
      </c>
      <c r="H65" s="2110">
        <f t="shared" si="3"/>
        <v>0</v>
      </c>
      <c r="I65" s="645"/>
      <c r="J65" s="637"/>
    </row>
    <row r="66" spans="1:10" ht="12.75" customHeight="1">
      <c r="A66" s="645"/>
      <c r="B66" s="2209" t="s">
        <v>474</v>
      </c>
      <c r="C66" s="407"/>
      <c r="D66" s="2210"/>
      <c r="E66" s="2211">
        <f>'טופס 2'!N48</f>
        <v>0</v>
      </c>
      <c r="F66" s="1920">
        <f>'טופס 2'!R48</f>
        <v>0</v>
      </c>
      <c r="G66" s="1920">
        <f t="shared" si="2"/>
        <v>0</v>
      </c>
      <c r="H66" s="2110">
        <f t="shared" si="3"/>
        <v>0</v>
      </c>
      <c r="I66" s="645"/>
      <c r="J66" s="637"/>
    </row>
    <row r="67" spans="1:10" ht="12.75" customHeight="1">
      <c r="A67" s="645"/>
      <c r="B67" s="2209" t="s">
        <v>1183</v>
      </c>
      <c r="C67" s="407"/>
      <c r="D67" s="2210"/>
      <c r="E67" s="2211">
        <f>'טופס 2'!N49</f>
        <v>11610</v>
      </c>
      <c r="F67" s="1920">
        <f>'טופס 2'!R49</f>
        <v>11484</v>
      </c>
      <c r="G67" s="1920">
        <f t="shared" si="2"/>
        <v>126</v>
      </c>
      <c r="H67" s="2110">
        <f t="shared" si="3"/>
        <v>1.0971786833855799E-2</v>
      </c>
      <c r="I67" s="645"/>
      <c r="J67" s="637"/>
    </row>
    <row r="68" spans="1:10" ht="12.75" customHeight="1">
      <c r="A68" s="645"/>
      <c r="B68" s="2209" t="s">
        <v>477</v>
      </c>
      <c r="C68" s="407"/>
      <c r="D68" s="2210"/>
      <c r="E68" s="2211">
        <f>'טופס 2'!N50</f>
        <v>0</v>
      </c>
      <c r="F68" s="1920">
        <f>'טופס 2'!R50</f>
        <v>0</v>
      </c>
      <c r="G68" s="1920">
        <f t="shared" si="2"/>
        <v>0</v>
      </c>
      <c r="H68" s="2110">
        <f t="shared" si="3"/>
        <v>0</v>
      </c>
      <c r="I68" s="645"/>
      <c r="J68" s="637"/>
    </row>
    <row r="69" spans="1:10" ht="12.75" customHeight="1">
      <c r="A69" s="645"/>
      <c r="B69" s="3631" t="s">
        <v>1184</v>
      </c>
      <c r="C69" s="3632"/>
      <c r="D69" s="2210"/>
      <c r="E69" s="2211">
        <f>'טופס 2'!$N$53</f>
        <v>96869</v>
      </c>
      <c r="F69" s="1920">
        <f>'טופס 2'!$R$53</f>
        <v>104510</v>
      </c>
      <c r="G69" s="1920">
        <f t="shared" si="2"/>
        <v>-7641</v>
      </c>
      <c r="H69" s="2110">
        <f t="shared" si="3"/>
        <v>-7.3112620801837142E-2</v>
      </c>
      <c r="I69" s="645"/>
      <c r="J69" s="637"/>
    </row>
    <row r="70" spans="1:10" ht="12.75" customHeight="1">
      <c r="A70" s="645"/>
      <c r="B70" s="795"/>
      <c r="C70" s="796"/>
      <c r="D70" s="796"/>
      <c r="E70" s="796"/>
      <c r="F70" s="796"/>
      <c r="G70" s="796"/>
      <c r="H70" s="797"/>
      <c r="I70" s="645"/>
      <c r="J70" s="637"/>
    </row>
    <row r="71" spans="1:10" ht="12.75" customHeight="1" thickBot="1">
      <c r="A71" s="645"/>
      <c r="B71" s="645"/>
      <c r="C71" s="645"/>
      <c r="D71" s="645"/>
      <c r="E71" s="645"/>
      <c r="F71" s="645"/>
      <c r="G71" s="645"/>
      <c r="H71" s="645"/>
      <c r="I71" s="645"/>
      <c r="J71" s="637"/>
    </row>
    <row r="72" spans="1:10" ht="12.75" customHeight="1" thickTop="1">
      <c r="A72" s="671"/>
      <c r="B72" s="671"/>
      <c r="C72" s="671"/>
      <c r="D72" s="671"/>
      <c r="E72" s="671"/>
      <c r="F72" s="671"/>
      <c r="G72" s="671"/>
      <c r="H72" s="671"/>
      <c r="I72" s="671"/>
    </row>
    <row r="197" spans="2:8" ht="12.75" customHeight="1">
      <c r="B197" s="3390" t="str">
        <f>E1</f>
        <v>עירית הרצליה</v>
      </c>
      <c r="C197" s="3390"/>
      <c r="D197" s="3390"/>
      <c r="E197" s="3390"/>
      <c r="F197" s="3390"/>
      <c r="G197" s="3390"/>
      <c r="H197" s="3390"/>
    </row>
    <row r="198" spans="2:8" ht="12.75" customHeight="1">
      <c r="B198" s="3390" t="str">
        <f>E2</f>
        <v>שינויים מהותיים בין תקציב 2015 לבין הביצוע בשנת 2014</v>
      </c>
      <c r="C198" s="3390"/>
      <c r="D198" s="3390"/>
      <c r="E198" s="3390"/>
      <c r="F198" s="3390"/>
      <c r="G198" s="3390"/>
      <c r="H198" s="3390"/>
    </row>
    <row r="202" spans="2:8" ht="12.75" customHeight="1">
      <c r="B202" s="350">
        <f t="shared" ref="B202:H202" si="4">B5</f>
        <v>0</v>
      </c>
      <c r="C202" s="350">
        <f t="shared" si="4"/>
        <v>0</v>
      </c>
      <c r="D202" s="798">
        <f t="shared" si="4"/>
        <v>0</v>
      </c>
      <c r="E202" s="798" t="str">
        <f t="shared" si="4"/>
        <v>תקציב 2015</v>
      </c>
      <c r="F202" s="798" t="str">
        <f t="shared" si="4"/>
        <v>ביצוע 2014</v>
      </c>
      <c r="G202" s="798" t="str">
        <f t="shared" si="4"/>
        <v>הפרש</v>
      </c>
      <c r="H202" s="798" t="str">
        <f t="shared" si="4"/>
        <v>סטיה</v>
      </c>
    </row>
    <row r="203" spans="2:8" ht="12.75" customHeight="1">
      <c r="B203" s="350">
        <f>B6</f>
        <v>0</v>
      </c>
      <c r="C203" s="350">
        <f>C6</f>
        <v>0</v>
      </c>
      <c r="D203" s="350"/>
      <c r="E203" s="347">
        <f>E6</f>
        <v>0</v>
      </c>
      <c r="F203" s="347" t="str">
        <f>F6</f>
        <v xml:space="preserve">אלפי ש"ח
</v>
      </c>
      <c r="G203" s="347">
        <f>G6</f>
        <v>0</v>
      </c>
      <c r="H203" s="350" t="str">
        <f>H6</f>
        <v>%</v>
      </c>
    </row>
    <row r="204" spans="2:8" ht="12.75" customHeight="1">
      <c r="B204" s="747" t="str">
        <f>B7</f>
        <v>תקבולים:</v>
      </c>
      <c r="C204" s="350">
        <f>C7</f>
        <v>0</v>
      </c>
      <c r="D204" s="350"/>
      <c r="E204" s="326"/>
      <c r="F204" s="326"/>
      <c r="G204" s="326"/>
      <c r="H204" s="2218"/>
    </row>
    <row r="205" spans="2:8" ht="12.75" customHeight="1">
      <c r="B205" s="326">
        <f t="shared" ref="B205:C205" si="5">IF(AND(ABS($H8)&gt;=$K$8,ABS($G8)&gt;=$L$8),B8,0)</f>
        <v>0</v>
      </c>
      <c r="C205" s="326">
        <f t="shared" si="5"/>
        <v>0</v>
      </c>
      <c r="D205" s="350"/>
      <c r="E205" s="326">
        <f t="shared" ref="E205:H224" si="6">IF(AND(ABS($H8)&gt;=$K$8,ABS($G8)&gt;=$L$8),E8,0)</f>
        <v>0</v>
      </c>
      <c r="F205" s="326">
        <f t="shared" si="6"/>
        <v>0</v>
      </c>
      <c r="G205" s="326">
        <f t="shared" si="6"/>
        <v>0</v>
      </c>
      <c r="H205" s="2218">
        <f t="shared" si="6"/>
        <v>0</v>
      </c>
    </row>
    <row r="206" spans="2:8" ht="12.75" customHeight="1">
      <c r="B206" s="326">
        <f t="shared" ref="B206:C206" si="7">IF(AND(ABS($H9)&gt;=$K$8,ABS($G9)&gt;=$L$8),B9,0)</f>
        <v>0</v>
      </c>
      <c r="C206" s="326">
        <f t="shared" si="7"/>
        <v>0</v>
      </c>
      <c r="D206" s="350"/>
      <c r="E206" s="326">
        <f t="shared" si="6"/>
        <v>0</v>
      </c>
      <c r="F206" s="326">
        <f t="shared" si="6"/>
        <v>0</v>
      </c>
      <c r="G206" s="326">
        <f t="shared" si="6"/>
        <v>0</v>
      </c>
      <c r="H206" s="2218">
        <f t="shared" si="6"/>
        <v>0</v>
      </c>
    </row>
    <row r="207" spans="2:8" ht="12.75" customHeight="1">
      <c r="B207" s="326">
        <f t="shared" ref="B207:C207" si="8">IF(AND(ABS($H10)&gt;=$K$8,ABS($G10)&gt;=$L$8),B10,0)</f>
        <v>0</v>
      </c>
      <c r="C207" s="326">
        <f t="shared" si="8"/>
        <v>0</v>
      </c>
      <c r="D207" s="350"/>
      <c r="E207" s="326">
        <f t="shared" si="6"/>
        <v>0</v>
      </c>
      <c r="F207" s="326">
        <f t="shared" si="6"/>
        <v>0</v>
      </c>
      <c r="G207" s="326">
        <f t="shared" si="6"/>
        <v>0</v>
      </c>
      <c r="H207" s="2218">
        <f t="shared" si="6"/>
        <v>0</v>
      </c>
    </row>
    <row r="208" spans="2:8" ht="12.75" customHeight="1">
      <c r="B208" s="326">
        <f t="shared" ref="B208:C208" si="9">IF(AND(ABS($H11)&gt;=$K$8,ABS($G11)&gt;=$L$8),B11,0)</f>
        <v>0</v>
      </c>
      <c r="C208" s="326">
        <f t="shared" si="9"/>
        <v>0</v>
      </c>
      <c r="D208" s="350"/>
      <c r="E208" s="326">
        <f t="shared" si="6"/>
        <v>0</v>
      </c>
      <c r="F208" s="326">
        <f t="shared" si="6"/>
        <v>0</v>
      </c>
      <c r="G208" s="326">
        <f t="shared" si="6"/>
        <v>0</v>
      </c>
      <c r="H208" s="2218">
        <f t="shared" si="6"/>
        <v>0</v>
      </c>
    </row>
    <row r="209" spans="2:8" ht="12.75" customHeight="1">
      <c r="B209" s="326">
        <f t="shared" ref="B209:C209" si="10">IF(AND(ABS($H12)&gt;=$K$8,ABS($G12)&gt;=$L$8),B12,0)</f>
        <v>0</v>
      </c>
      <c r="C209" s="326">
        <f t="shared" si="10"/>
        <v>0</v>
      </c>
      <c r="D209" s="350"/>
      <c r="E209" s="326">
        <f t="shared" si="6"/>
        <v>0</v>
      </c>
      <c r="F209" s="326">
        <f t="shared" si="6"/>
        <v>0</v>
      </c>
      <c r="G209" s="326">
        <f t="shared" si="6"/>
        <v>0</v>
      </c>
      <c r="H209" s="2218">
        <f t="shared" si="6"/>
        <v>0</v>
      </c>
    </row>
    <row r="210" spans="2:8" ht="12.75" customHeight="1">
      <c r="B210" s="326">
        <f t="shared" ref="B210:C210" si="11">IF(AND(ABS($H13)&gt;=$K$8,ABS($G13)&gt;=$L$8),B13,0)</f>
        <v>0</v>
      </c>
      <c r="C210" s="326">
        <f t="shared" si="11"/>
        <v>0</v>
      </c>
      <c r="D210" s="350"/>
      <c r="E210" s="326">
        <f t="shared" si="6"/>
        <v>0</v>
      </c>
      <c r="F210" s="326">
        <f t="shared" si="6"/>
        <v>0</v>
      </c>
      <c r="G210" s="326">
        <f t="shared" si="6"/>
        <v>0</v>
      </c>
      <c r="H210" s="2218">
        <f t="shared" si="6"/>
        <v>0</v>
      </c>
    </row>
    <row r="211" spans="2:8" ht="12.75" customHeight="1">
      <c r="B211" s="326">
        <f t="shared" ref="B211:C211" si="12">IF(AND(ABS($H14)&gt;=$K$8,ABS($G14)&gt;=$L$8),B14,0)</f>
        <v>0</v>
      </c>
      <c r="C211" s="326">
        <f t="shared" si="12"/>
        <v>0</v>
      </c>
      <c r="D211" s="350"/>
      <c r="E211" s="326">
        <f t="shared" si="6"/>
        <v>0</v>
      </c>
      <c r="F211" s="326">
        <f t="shared" si="6"/>
        <v>0</v>
      </c>
      <c r="G211" s="326">
        <f t="shared" si="6"/>
        <v>0</v>
      </c>
      <c r="H211" s="2218">
        <f t="shared" si="6"/>
        <v>0</v>
      </c>
    </row>
    <row r="212" spans="2:8" ht="12.75" customHeight="1">
      <c r="B212" s="326" t="str">
        <f t="shared" ref="B212:C212" si="13">IF(AND(ABS($H15)&gt;=$K$8,ABS($G15)&gt;=$L$8),B15,0)</f>
        <v>21 תברואה</v>
      </c>
      <c r="C212" s="326">
        <f t="shared" si="13"/>
        <v>0</v>
      </c>
      <c r="D212" s="350"/>
      <c r="E212" s="326">
        <f t="shared" si="6"/>
        <v>5718</v>
      </c>
      <c r="F212" s="326">
        <f t="shared" si="6"/>
        <v>4023</v>
      </c>
      <c r="G212" s="326">
        <f t="shared" si="6"/>
        <v>1695</v>
      </c>
      <c r="H212" s="2218">
        <f t="shared" si="6"/>
        <v>0.42132736763609246</v>
      </c>
    </row>
    <row r="213" spans="2:8" ht="12.75" customHeight="1">
      <c r="B213" s="326">
        <f t="shared" ref="B213:C213" si="14">IF(AND(ABS($H16)&gt;=$K$8,ABS($G16)&gt;=$L$8),B16,0)</f>
        <v>0</v>
      </c>
      <c r="C213" s="326">
        <f t="shared" si="14"/>
        <v>0</v>
      </c>
      <c r="D213" s="350"/>
      <c r="E213" s="326">
        <f t="shared" si="6"/>
        <v>0</v>
      </c>
      <c r="F213" s="326">
        <f t="shared" si="6"/>
        <v>0</v>
      </c>
      <c r="G213" s="326">
        <f t="shared" si="6"/>
        <v>0</v>
      </c>
      <c r="H213" s="2218">
        <f t="shared" si="6"/>
        <v>0</v>
      </c>
    </row>
    <row r="214" spans="2:8" ht="12.75" customHeight="1">
      <c r="B214" s="326" t="str">
        <f t="shared" ref="B214:C214" si="15">IF(AND(ABS($H17)&gt;=$K$8,ABS($G17)&gt;=$L$8),B17,0)</f>
        <v>23 תכנון ובנין העיר</v>
      </c>
      <c r="C214" s="326">
        <f t="shared" si="15"/>
        <v>0</v>
      </c>
      <c r="D214" s="350"/>
      <c r="E214" s="326">
        <f t="shared" si="6"/>
        <v>19175</v>
      </c>
      <c r="F214" s="326">
        <f t="shared" si="6"/>
        <v>13304</v>
      </c>
      <c r="G214" s="326">
        <f t="shared" si="6"/>
        <v>5871</v>
      </c>
      <c r="H214" s="2218">
        <f t="shared" si="6"/>
        <v>0.44129585087191819</v>
      </c>
    </row>
    <row r="215" spans="2:8" ht="12.75" customHeight="1">
      <c r="B215" s="326">
        <f t="shared" ref="B215:C215" si="16">IF(AND(ABS($H18)&gt;=$K$8,ABS($G18)&gt;=$L$8),B18,0)</f>
        <v>0</v>
      </c>
      <c r="C215" s="326">
        <f t="shared" si="16"/>
        <v>0</v>
      </c>
      <c r="D215" s="350"/>
      <c r="E215" s="326">
        <f t="shared" si="6"/>
        <v>0</v>
      </c>
      <c r="F215" s="326">
        <f t="shared" si="6"/>
        <v>0</v>
      </c>
      <c r="G215" s="326">
        <f t="shared" si="6"/>
        <v>0</v>
      </c>
      <c r="H215" s="2218">
        <f t="shared" si="6"/>
        <v>0</v>
      </c>
    </row>
    <row r="216" spans="2:8" ht="12.75" customHeight="1">
      <c r="B216" s="326">
        <f t="shared" ref="B216:C216" si="17">IF(AND(ABS($H19)&gt;=$K$8,ABS($G19)&gt;=$L$8),B19,0)</f>
        <v>0</v>
      </c>
      <c r="C216" s="326">
        <f t="shared" si="17"/>
        <v>0</v>
      </c>
      <c r="D216" s="350"/>
      <c r="E216" s="326">
        <f t="shared" si="6"/>
        <v>0</v>
      </c>
      <c r="F216" s="326">
        <f t="shared" si="6"/>
        <v>0</v>
      </c>
      <c r="G216" s="326">
        <f t="shared" si="6"/>
        <v>0</v>
      </c>
      <c r="H216" s="2218">
        <f t="shared" si="6"/>
        <v>0</v>
      </c>
    </row>
    <row r="217" spans="2:8" ht="12.75" customHeight="1">
      <c r="B217" s="326">
        <f t="shared" ref="B217:C217" si="18">IF(AND(ABS($H20)&gt;=$K$8,ABS($G20)&gt;=$L$8),B20,0)</f>
        <v>0</v>
      </c>
      <c r="C217" s="326">
        <f t="shared" si="18"/>
        <v>0</v>
      </c>
      <c r="D217" s="350"/>
      <c r="E217" s="326">
        <f t="shared" si="6"/>
        <v>0</v>
      </c>
      <c r="F217" s="326">
        <f t="shared" si="6"/>
        <v>0</v>
      </c>
      <c r="G217" s="326">
        <f t="shared" si="6"/>
        <v>0</v>
      </c>
      <c r="H217" s="2218">
        <f t="shared" si="6"/>
        <v>0</v>
      </c>
    </row>
    <row r="218" spans="2:8" ht="12.75" customHeight="1">
      <c r="B218" s="326">
        <f t="shared" ref="B218:C218" si="19">IF(AND(ABS($H21)&gt;=$K$8,ABS($G21)&gt;=$L$8),B21,0)</f>
        <v>0</v>
      </c>
      <c r="C218" s="326">
        <f t="shared" si="19"/>
        <v>0</v>
      </c>
      <c r="D218" s="350"/>
      <c r="E218" s="326">
        <f t="shared" si="6"/>
        <v>0</v>
      </c>
      <c r="F218" s="326">
        <f t="shared" si="6"/>
        <v>0</v>
      </c>
      <c r="G218" s="326">
        <f t="shared" si="6"/>
        <v>0</v>
      </c>
      <c r="H218" s="2218">
        <f t="shared" si="6"/>
        <v>0</v>
      </c>
    </row>
    <row r="219" spans="2:8" ht="12.75" customHeight="1">
      <c r="B219" s="326">
        <f t="shared" ref="B219:C219" si="20">IF(AND(ABS($H22)&gt;=$K$8,ABS($G22)&gt;=$L$8),B22,0)</f>
        <v>0</v>
      </c>
      <c r="C219" s="326">
        <f t="shared" si="20"/>
        <v>0</v>
      </c>
      <c r="D219" s="350"/>
      <c r="E219" s="326">
        <f t="shared" si="6"/>
        <v>0</v>
      </c>
      <c r="F219" s="326">
        <f t="shared" si="6"/>
        <v>0</v>
      </c>
      <c r="G219" s="326">
        <f t="shared" si="6"/>
        <v>0</v>
      </c>
      <c r="H219" s="2218">
        <f t="shared" si="6"/>
        <v>0</v>
      </c>
    </row>
    <row r="220" spans="2:8" ht="12.75" customHeight="1">
      <c r="B220" s="326">
        <f t="shared" ref="B220:C220" si="21">IF(AND(ABS($H23)&gt;=$K$8,ABS($G23)&gt;=$L$8),B23,0)</f>
        <v>0</v>
      </c>
      <c r="C220" s="326">
        <f t="shared" si="21"/>
        <v>0</v>
      </c>
      <c r="D220" s="350"/>
      <c r="E220" s="326">
        <f t="shared" si="6"/>
        <v>0</v>
      </c>
      <c r="F220" s="326">
        <f t="shared" si="6"/>
        <v>0</v>
      </c>
      <c r="G220" s="326">
        <f t="shared" si="6"/>
        <v>0</v>
      </c>
      <c r="H220" s="2218">
        <f t="shared" si="6"/>
        <v>0</v>
      </c>
    </row>
    <row r="221" spans="2:8" ht="12.75" customHeight="1">
      <c r="B221" s="326">
        <f t="shared" ref="B221:C221" si="22">IF(AND(ABS($H24)&gt;=$K$8,ABS($G24)&gt;=$L$8),B24,0)</f>
        <v>0</v>
      </c>
      <c r="C221" s="326">
        <f t="shared" si="22"/>
        <v>0</v>
      </c>
      <c r="D221" s="350"/>
      <c r="E221" s="326">
        <f t="shared" si="6"/>
        <v>0</v>
      </c>
      <c r="F221" s="326">
        <f t="shared" si="6"/>
        <v>0</v>
      </c>
      <c r="G221" s="326">
        <f t="shared" si="6"/>
        <v>0</v>
      </c>
      <c r="H221" s="2218">
        <f t="shared" si="6"/>
        <v>0</v>
      </c>
    </row>
    <row r="222" spans="2:8" ht="12.75" customHeight="1">
      <c r="B222" s="326" t="str">
        <f t="shared" ref="B222:C222" si="23">IF(AND(ABS($H25)&gt;=$K$8,ABS($G25)&gt;=$L$8),B25,0)</f>
        <v>32 תרבות</v>
      </c>
      <c r="C222" s="326">
        <f t="shared" si="23"/>
        <v>0</v>
      </c>
      <c r="D222" s="350"/>
      <c r="E222" s="326">
        <f t="shared" si="6"/>
        <v>3434</v>
      </c>
      <c r="F222" s="326">
        <f t="shared" si="6"/>
        <v>2727</v>
      </c>
      <c r="G222" s="326">
        <f t="shared" si="6"/>
        <v>707</v>
      </c>
      <c r="H222" s="2218">
        <f t="shared" si="6"/>
        <v>0.25925925925925924</v>
      </c>
    </row>
    <row r="223" spans="2:8" ht="12.75" customHeight="1">
      <c r="B223" s="326">
        <f t="shared" ref="B223:C223" si="24">IF(AND(ABS($H26)&gt;=$K$8,ABS($G26)&gt;=$L$8),B26,0)</f>
        <v>0</v>
      </c>
      <c r="C223" s="326">
        <f t="shared" si="24"/>
        <v>0</v>
      </c>
      <c r="D223" s="350"/>
      <c r="E223" s="326">
        <f t="shared" si="6"/>
        <v>0</v>
      </c>
      <c r="F223" s="326">
        <f t="shared" si="6"/>
        <v>0</v>
      </c>
      <c r="G223" s="326">
        <f t="shared" si="6"/>
        <v>0</v>
      </c>
      <c r="H223" s="2218">
        <f t="shared" si="6"/>
        <v>0</v>
      </c>
    </row>
    <row r="224" spans="2:8" ht="12.75" customHeight="1">
      <c r="B224" s="326">
        <f t="shared" ref="B224:C224" si="25">IF(AND(ABS($H27)&gt;=$K$8,ABS($G27)&gt;=$L$8),B27,0)</f>
        <v>0</v>
      </c>
      <c r="C224" s="326">
        <f t="shared" si="25"/>
        <v>0</v>
      </c>
      <c r="D224" s="350"/>
      <c r="E224" s="326">
        <f t="shared" si="6"/>
        <v>0</v>
      </c>
      <c r="F224" s="326">
        <f t="shared" si="6"/>
        <v>0</v>
      </c>
      <c r="G224" s="326">
        <f t="shared" si="6"/>
        <v>0</v>
      </c>
      <c r="H224" s="2218">
        <f t="shared" si="6"/>
        <v>0</v>
      </c>
    </row>
    <row r="225" spans="2:8" ht="12.75" customHeight="1">
      <c r="B225" s="326">
        <f t="shared" ref="B225:C225" si="26">IF(AND(ABS($H28)&gt;=$K$8,ABS($G28)&gt;=$L$8),B28,0)</f>
        <v>0</v>
      </c>
      <c r="C225" s="326">
        <f t="shared" si="26"/>
        <v>0</v>
      </c>
      <c r="D225" s="350"/>
      <c r="E225" s="326">
        <f t="shared" ref="E225:H244" si="27">IF(AND(ABS($H28)&gt;=$K$8,ABS($G28)&gt;=$L$8),E28,0)</f>
        <v>0</v>
      </c>
      <c r="F225" s="326">
        <f t="shared" si="27"/>
        <v>0</v>
      </c>
      <c r="G225" s="326">
        <f t="shared" si="27"/>
        <v>0</v>
      </c>
      <c r="H225" s="2218">
        <f t="shared" si="27"/>
        <v>0</v>
      </c>
    </row>
    <row r="226" spans="2:8" ht="12.75" customHeight="1">
      <c r="B226" s="326">
        <f t="shared" ref="B226:C226" si="28">IF(AND(ABS($H29)&gt;=$K$8,ABS($G29)&gt;=$L$8),B29,0)</f>
        <v>0</v>
      </c>
      <c r="C226" s="326">
        <f t="shared" si="28"/>
        <v>0</v>
      </c>
      <c r="D226" s="350"/>
      <c r="E226" s="326">
        <f t="shared" si="27"/>
        <v>0</v>
      </c>
      <c r="F226" s="326">
        <f t="shared" si="27"/>
        <v>0</v>
      </c>
      <c r="G226" s="326">
        <f t="shared" si="27"/>
        <v>0</v>
      </c>
      <c r="H226" s="2218">
        <f t="shared" si="27"/>
        <v>0</v>
      </c>
    </row>
    <row r="227" spans="2:8" ht="12.75" customHeight="1">
      <c r="B227" s="326">
        <f t="shared" ref="B227:C227" si="29">IF(AND(ABS($H30)&gt;=$K$8,ABS($G30)&gt;=$L$8),B30,0)</f>
        <v>0</v>
      </c>
      <c r="C227" s="326">
        <f t="shared" si="29"/>
        <v>0</v>
      </c>
      <c r="D227" s="350"/>
      <c r="E227" s="326">
        <f t="shared" si="27"/>
        <v>0</v>
      </c>
      <c r="F227" s="326">
        <f t="shared" si="27"/>
        <v>0</v>
      </c>
      <c r="G227" s="326">
        <f t="shared" si="27"/>
        <v>0</v>
      </c>
      <c r="H227" s="2218">
        <f t="shared" si="27"/>
        <v>0</v>
      </c>
    </row>
    <row r="228" spans="2:8" ht="12.75" customHeight="1">
      <c r="B228" s="326">
        <f t="shared" ref="B228:C228" si="30">IF(AND(ABS($H31)&gt;=$K$8,ABS($G31)&gt;=$L$8),B31,0)</f>
        <v>0</v>
      </c>
      <c r="C228" s="326">
        <f t="shared" si="30"/>
        <v>0</v>
      </c>
      <c r="D228" s="350"/>
      <c r="E228" s="326">
        <f t="shared" si="27"/>
        <v>0</v>
      </c>
      <c r="F228" s="326">
        <f t="shared" si="27"/>
        <v>0</v>
      </c>
      <c r="G228" s="326">
        <f t="shared" si="27"/>
        <v>0</v>
      </c>
      <c r="H228" s="2218">
        <f t="shared" si="27"/>
        <v>0</v>
      </c>
    </row>
    <row r="229" spans="2:8" ht="12.75" customHeight="1">
      <c r="B229" s="326">
        <f t="shared" ref="B229:C229" si="31">IF(AND(ABS($H32)&gt;=$K$8,ABS($G32)&gt;=$L$8),B32,0)</f>
        <v>0</v>
      </c>
      <c r="C229" s="326">
        <f t="shared" si="31"/>
        <v>0</v>
      </c>
      <c r="D229" s="350"/>
      <c r="E229" s="326">
        <f t="shared" si="27"/>
        <v>0</v>
      </c>
      <c r="F229" s="326">
        <f t="shared" si="27"/>
        <v>0</v>
      </c>
      <c r="G229" s="326">
        <f t="shared" si="27"/>
        <v>0</v>
      </c>
      <c r="H229" s="2218">
        <f t="shared" si="27"/>
        <v>0</v>
      </c>
    </row>
    <row r="230" spans="2:8" ht="12.75" customHeight="1">
      <c r="B230" s="326">
        <f t="shared" ref="B230:C230" si="32">IF(AND(ABS($H33)&gt;=$K$8,ABS($G33)&gt;=$L$8),B33,0)</f>
        <v>0</v>
      </c>
      <c r="C230" s="326">
        <f t="shared" si="32"/>
        <v>0</v>
      </c>
      <c r="D230" s="350"/>
      <c r="E230" s="326">
        <f t="shared" si="27"/>
        <v>0</v>
      </c>
      <c r="F230" s="326">
        <f t="shared" si="27"/>
        <v>0</v>
      </c>
      <c r="G230" s="326">
        <f t="shared" si="27"/>
        <v>0</v>
      </c>
      <c r="H230" s="2218">
        <f t="shared" si="27"/>
        <v>0</v>
      </c>
    </row>
    <row r="231" spans="2:8" ht="12.75" customHeight="1">
      <c r="B231" s="326">
        <f t="shared" ref="B231:C231" si="33">IF(AND(ABS($H34)&gt;=$K$8,ABS($G34)&gt;=$L$8),B34,0)</f>
        <v>0</v>
      </c>
      <c r="C231" s="326">
        <f t="shared" si="33"/>
        <v>0</v>
      </c>
      <c r="D231" s="350"/>
      <c r="E231" s="326">
        <f t="shared" si="27"/>
        <v>0</v>
      </c>
      <c r="F231" s="326">
        <f t="shared" si="27"/>
        <v>0</v>
      </c>
      <c r="G231" s="326">
        <f t="shared" si="27"/>
        <v>0</v>
      </c>
      <c r="H231" s="2218">
        <f t="shared" si="27"/>
        <v>0</v>
      </c>
    </row>
    <row r="232" spans="2:8" ht="12.75" customHeight="1">
      <c r="B232" s="326">
        <f t="shared" ref="B232:C232" si="34">IF(AND(ABS($H35)&gt;=$K$8,ABS($G35)&gt;=$L$8),B35,0)</f>
        <v>0</v>
      </c>
      <c r="C232" s="326">
        <f t="shared" si="34"/>
        <v>0</v>
      </c>
      <c r="D232" s="350"/>
      <c r="E232" s="326">
        <f t="shared" si="27"/>
        <v>0</v>
      </c>
      <c r="F232" s="326">
        <f t="shared" si="27"/>
        <v>0</v>
      </c>
      <c r="G232" s="326">
        <f t="shared" si="27"/>
        <v>0</v>
      </c>
      <c r="H232" s="2218">
        <f t="shared" si="27"/>
        <v>0</v>
      </c>
    </row>
    <row r="233" spans="2:8" ht="12.75" customHeight="1">
      <c r="B233" s="326">
        <f t="shared" ref="B233:C233" si="35">IF(AND(ABS($H36)&gt;=$K$8,ABS($G36)&gt;=$L$8),B36,0)</f>
        <v>0</v>
      </c>
      <c r="C233" s="326">
        <f t="shared" si="35"/>
        <v>0</v>
      </c>
      <c r="D233" s="350"/>
      <c r="E233" s="326">
        <f t="shared" si="27"/>
        <v>0</v>
      </c>
      <c r="F233" s="326">
        <f t="shared" si="27"/>
        <v>0</v>
      </c>
      <c r="G233" s="326">
        <f t="shared" si="27"/>
        <v>0</v>
      </c>
      <c r="H233" s="2218">
        <f t="shared" si="27"/>
        <v>0</v>
      </c>
    </row>
    <row r="234" spans="2:8" ht="12.75" customHeight="1">
      <c r="B234" s="326">
        <f t="shared" ref="B234:C234" si="36">IF(AND(ABS($H37)&gt;=$K$8,ABS($G37)&gt;=$L$8),B37,0)</f>
        <v>0</v>
      </c>
      <c r="C234" s="326">
        <f t="shared" si="36"/>
        <v>0</v>
      </c>
      <c r="D234" s="350"/>
      <c r="E234" s="326">
        <f t="shared" si="27"/>
        <v>0</v>
      </c>
      <c r="F234" s="326">
        <f t="shared" si="27"/>
        <v>0</v>
      </c>
      <c r="G234" s="326">
        <f t="shared" si="27"/>
        <v>0</v>
      </c>
      <c r="H234" s="2218">
        <f t="shared" si="27"/>
        <v>0</v>
      </c>
    </row>
    <row r="235" spans="2:8" ht="12" customHeight="1">
      <c r="B235" s="326">
        <f t="shared" ref="B235:C235" si="37">IF(AND(ABS($H38)&gt;=$K$8,ABS($G38)&gt;=$L$8),B38,0)</f>
        <v>0</v>
      </c>
      <c r="C235" s="326">
        <f t="shared" si="37"/>
        <v>0</v>
      </c>
      <c r="D235" s="350"/>
      <c r="E235" s="326">
        <f t="shared" si="27"/>
        <v>0</v>
      </c>
      <c r="F235" s="326">
        <f t="shared" si="27"/>
        <v>0</v>
      </c>
      <c r="G235" s="326">
        <f t="shared" si="27"/>
        <v>0</v>
      </c>
      <c r="H235" s="2218">
        <f t="shared" si="27"/>
        <v>0</v>
      </c>
    </row>
    <row r="236" spans="2:8" ht="12.75" customHeight="1">
      <c r="B236" s="326" t="str">
        <f t="shared" ref="B236:C236" si="38">IF(AND(ABS($H39)&gt;=$K$8,ABS($G39)&gt;=$L$8),B39,0)</f>
        <v>5 תקבולים בלתי רגילים</v>
      </c>
      <c r="C236" s="326">
        <f t="shared" si="38"/>
        <v>0</v>
      </c>
      <c r="D236" s="350"/>
      <c r="E236" s="326">
        <f t="shared" si="27"/>
        <v>38524</v>
      </c>
      <c r="F236" s="326">
        <f t="shared" si="27"/>
        <v>33412</v>
      </c>
      <c r="G236" s="326">
        <f t="shared" si="27"/>
        <v>5112</v>
      </c>
      <c r="H236" s="2218">
        <f t="shared" si="27"/>
        <v>0.15299892254279898</v>
      </c>
    </row>
    <row r="237" spans="2:8" ht="21.75" customHeight="1">
      <c r="B237" s="747" t="str">
        <f>B40</f>
        <v>תשלומים:</v>
      </c>
      <c r="C237" s="350">
        <f>C40</f>
        <v>0</v>
      </c>
      <c r="D237" s="350"/>
      <c r="E237" s="326">
        <f t="shared" si="27"/>
        <v>0</v>
      </c>
      <c r="F237" s="326">
        <f t="shared" si="27"/>
        <v>0</v>
      </c>
      <c r="G237" s="326">
        <f t="shared" si="27"/>
        <v>0</v>
      </c>
      <c r="H237" s="2218">
        <f t="shared" si="27"/>
        <v>0</v>
      </c>
    </row>
    <row r="238" spans="2:8" ht="12.75" customHeight="1">
      <c r="B238" s="326">
        <f t="shared" ref="B238:C238" si="39">IF(AND(ABS($H41)&gt;=$K$8,ABS($G41)&gt;=$L$8),B41,0)</f>
        <v>0</v>
      </c>
      <c r="C238" s="326">
        <f t="shared" si="39"/>
        <v>0</v>
      </c>
      <c r="D238" s="350"/>
      <c r="E238" s="326">
        <f t="shared" si="27"/>
        <v>0</v>
      </c>
      <c r="F238" s="326">
        <f t="shared" si="27"/>
        <v>0</v>
      </c>
      <c r="G238" s="326">
        <f t="shared" si="27"/>
        <v>0</v>
      </c>
      <c r="H238" s="2218">
        <f t="shared" si="27"/>
        <v>0</v>
      </c>
    </row>
    <row r="239" spans="2:8" ht="12.75" customHeight="1">
      <c r="B239" s="326" t="str">
        <f t="shared" ref="B239:C239" si="40">IF(AND(ABS($H42)&gt;=$K$8,ABS($G42)&gt;=$L$8),B42,0)</f>
        <v>62 מנהל כספי</v>
      </c>
      <c r="C239" s="326">
        <f t="shared" si="40"/>
        <v>0</v>
      </c>
      <c r="D239" s="350"/>
      <c r="E239" s="326">
        <f t="shared" si="27"/>
        <v>18995</v>
      </c>
      <c r="F239" s="326">
        <f t="shared" si="27"/>
        <v>16253</v>
      </c>
      <c r="G239" s="326">
        <f t="shared" si="27"/>
        <v>2742</v>
      </c>
      <c r="H239" s="2218">
        <f t="shared" si="27"/>
        <v>0.1687073155725097</v>
      </c>
    </row>
    <row r="240" spans="2:8" ht="12.75" customHeight="1">
      <c r="B240" s="326">
        <f t="shared" ref="B240:C240" si="41">IF(AND(ABS($H43)&gt;=$K$8,ABS($G43)&gt;=$L$8),B43,0)</f>
        <v>0</v>
      </c>
      <c r="C240" s="326">
        <f t="shared" si="41"/>
        <v>0</v>
      </c>
      <c r="D240" s="350"/>
      <c r="E240" s="326">
        <f t="shared" si="27"/>
        <v>0</v>
      </c>
      <c r="F240" s="326">
        <f t="shared" si="27"/>
        <v>0</v>
      </c>
      <c r="G240" s="326">
        <f t="shared" si="27"/>
        <v>0</v>
      </c>
      <c r="H240" s="2218">
        <f t="shared" si="27"/>
        <v>0</v>
      </c>
    </row>
    <row r="241" spans="2:8" ht="12.75" customHeight="1">
      <c r="B241" s="326" t="str">
        <f t="shared" ref="B241:C241" si="42">IF(AND(ABS($H44)&gt;=$K$8,ABS($G44)&gt;=$L$8),B44,0)</f>
        <v>64 פרעון מלוות</v>
      </c>
      <c r="C241" s="326">
        <f t="shared" si="42"/>
        <v>0</v>
      </c>
      <c r="D241" s="350"/>
      <c r="E241" s="326">
        <f t="shared" si="27"/>
        <v>26350</v>
      </c>
      <c r="F241" s="326">
        <f t="shared" si="27"/>
        <v>30031</v>
      </c>
      <c r="G241" s="326">
        <f t="shared" si="27"/>
        <v>-3681</v>
      </c>
      <c r="H241" s="2218">
        <f t="shared" si="27"/>
        <v>-0.12257334088108954</v>
      </c>
    </row>
    <row r="242" spans="2:8" ht="12.75" customHeight="1">
      <c r="B242" s="326">
        <f t="shared" ref="B242:C242" si="43">IF(AND(ABS($H45)&gt;=$K$8,ABS($G45)&gt;=$L$8),B45,0)</f>
        <v>0</v>
      </c>
      <c r="C242" s="326">
        <f t="shared" si="43"/>
        <v>0</v>
      </c>
      <c r="D242" s="350"/>
      <c r="E242" s="326">
        <f t="shared" si="27"/>
        <v>0</v>
      </c>
      <c r="F242" s="326">
        <f t="shared" si="27"/>
        <v>0</v>
      </c>
      <c r="G242" s="326">
        <f t="shared" si="27"/>
        <v>0</v>
      </c>
      <c r="H242" s="2218">
        <f t="shared" si="27"/>
        <v>0</v>
      </c>
    </row>
    <row r="243" spans="2:8" ht="12.75" customHeight="1">
      <c r="B243" s="326">
        <f t="shared" ref="B243:C243" si="44">IF(AND(ABS($H46)&gt;=$K$8,ABS($G46)&gt;=$L$8),B46,0)</f>
        <v>0</v>
      </c>
      <c r="C243" s="326">
        <f t="shared" si="44"/>
        <v>0</v>
      </c>
      <c r="D243" s="350"/>
      <c r="E243" s="326">
        <f t="shared" si="27"/>
        <v>0</v>
      </c>
      <c r="F243" s="326">
        <f t="shared" si="27"/>
        <v>0</v>
      </c>
      <c r="G243" s="326">
        <f t="shared" si="27"/>
        <v>0</v>
      </c>
      <c r="H243" s="2218">
        <f t="shared" si="27"/>
        <v>0</v>
      </c>
    </row>
    <row r="244" spans="2:8" ht="12.75" customHeight="1">
      <c r="B244" s="326" t="str">
        <f t="shared" ref="B244:C244" si="45">IF(AND(ABS($H47)&gt;=$K$8,ABS($G47)&gt;=$L$8),B47,0)</f>
        <v>73 תכנון ובנין העיר</v>
      </c>
      <c r="C244" s="326">
        <f t="shared" si="45"/>
        <v>0</v>
      </c>
      <c r="D244" s="350"/>
      <c r="E244" s="326">
        <f t="shared" si="27"/>
        <v>15931</v>
      </c>
      <c r="F244" s="326">
        <f t="shared" si="27"/>
        <v>13409</v>
      </c>
      <c r="G244" s="326">
        <f t="shared" si="27"/>
        <v>2522</v>
      </c>
      <c r="H244" s="2218">
        <f t="shared" si="27"/>
        <v>0.18808263106868522</v>
      </c>
    </row>
    <row r="245" spans="2:8" ht="12.75" customHeight="1">
      <c r="B245" s="326">
        <f t="shared" ref="B245:C245" si="46">IF(AND(ABS($H48)&gt;=$K$8,ABS($G48)&gt;=$L$8),B48,0)</f>
        <v>0</v>
      </c>
      <c r="C245" s="326">
        <f t="shared" si="46"/>
        <v>0</v>
      </c>
      <c r="D245" s="350"/>
      <c r="E245" s="326">
        <f t="shared" ref="E245:H264" si="47">IF(AND(ABS($H48)&gt;=$K$8,ABS($G48)&gt;=$L$8),E48,0)</f>
        <v>0</v>
      </c>
      <c r="F245" s="326">
        <f t="shared" si="47"/>
        <v>0</v>
      </c>
      <c r="G245" s="326">
        <f t="shared" si="47"/>
        <v>0</v>
      </c>
      <c r="H245" s="2218">
        <f t="shared" si="47"/>
        <v>0</v>
      </c>
    </row>
    <row r="246" spans="2:8" ht="12.75" customHeight="1">
      <c r="B246" s="326">
        <f t="shared" ref="B246:C246" si="48">IF(AND(ABS($H49)&gt;=$K$8,ABS($G49)&gt;=$L$8),B49,0)</f>
        <v>0</v>
      </c>
      <c r="C246" s="326">
        <f t="shared" si="48"/>
        <v>0</v>
      </c>
      <c r="D246" s="350"/>
      <c r="E246" s="326">
        <f t="shared" si="47"/>
        <v>0</v>
      </c>
      <c r="F246" s="326">
        <f t="shared" si="47"/>
        <v>0</v>
      </c>
      <c r="G246" s="326">
        <f t="shared" si="47"/>
        <v>0</v>
      </c>
      <c r="H246" s="2218">
        <f t="shared" si="47"/>
        <v>0</v>
      </c>
    </row>
    <row r="247" spans="2:8" ht="12.75" customHeight="1">
      <c r="B247" s="326" t="str">
        <f t="shared" ref="B247:C247" si="49">IF(AND(ABS($H50)&gt;=$K$8,ABS($G50)&gt;=$L$8),B50,0)</f>
        <v>76 שרותים עירוניים שונים</v>
      </c>
      <c r="C247" s="326">
        <f t="shared" si="49"/>
        <v>0</v>
      </c>
      <c r="D247" s="350"/>
      <c r="E247" s="326">
        <f t="shared" si="47"/>
        <v>15903</v>
      </c>
      <c r="F247" s="326">
        <f t="shared" si="47"/>
        <v>13567</v>
      </c>
      <c r="G247" s="326">
        <f t="shared" si="47"/>
        <v>2336</v>
      </c>
      <c r="H247" s="2218">
        <f t="shared" si="47"/>
        <v>0.1721825016584359</v>
      </c>
    </row>
    <row r="248" spans="2:8" ht="12.75" customHeight="1">
      <c r="B248" s="326">
        <f t="shared" ref="B248:C248" si="50">IF(AND(ABS($H51)&gt;=$K$8,ABS($G51)&gt;=$L$8),B51,0)</f>
        <v>0</v>
      </c>
      <c r="C248" s="326">
        <f t="shared" si="50"/>
        <v>0</v>
      </c>
      <c r="D248" s="350"/>
      <c r="E248" s="326">
        <f t="shared" si="47"/>
        <v>0</v>
      </c>
      <c r="F248" s="326">
        <f t="shared" si="47"/>
        <v>0</v>
      </c>
      <c r="G248" s="326">
        <f t="shared" si="47"/>
        <v>0</v>
      </c>
      <c r="H248" s="2218">
        <f t="shared" si="47"/>
        <v>0</v>
      </c>
    </row>
    <row r="249" spans="2:8" ht="12.75" customHeight="1">
      <c r="B249" s="326">
        <f t="shared" ref="B249:C249" si="51">IF(AND(ABS($H52)&gt;=$K$8,ABS($G52)&gt;=$L$8),B52,0)</f>
        <v>0</v>
      </c>
      <c r="C249" s="326">
        <f t="shared" si="51"/>
        <v>0</v>
      </c>
      <c r="D249" s="350"/>
      <c r="E249" s="326">
        <f t="shared" si="47"/>
        <v>0</v>
      </c>
      <c r="F249" s="326">
        <f t="shared" si="47"/>
        <v>0</v>
      </c>
      <c r="G249" s="326">
        <f t="shared" si="47"/>
        <v>0</v>
      </c>
      <c r="H249" s="2218">
        <f t="shared" si="47"/>
        <v>0</v>
      </c>
    </row>
    <row r="250" spans="2:8" ht="12.75" customHeight="1">
      <c r="B250" s="326">
        <f t="shared" ref="B250:C250" si="52">IF(AND(ABS($H53)&gt;=$K$8,ABS($G53)&gt;=$L$8),B53,0)</f>
        <v>0</v>
      </c>
      <c r="C250" s="326">
        <f t="shared" si="52"/>
        <v>0</v>
      </c>
      <c r="D250" s="350"/>
      <c r="E250" s="326">
        <f t="shared" si="47"/>
        <v>0</v>
      </c>
      <c r="F250" s="326">
        <f t="shared" si="47"/>
        <v>0</v>
      </c>
      <c r="G250" s="326">
        <f t="shared" si="47"/>
        <v>0</v>
      </c>
      <c r="H250" s="2218">
        <f t="shared" si="47"/>
        <v>0</v>
      </c>
    </row>
    <row r="251" spans="2:8" ht="12.75" customHeight="1">
      <c r="B251" s="326">
        <f t="shared" ref="B251:C251" si="53">IF(AND(ABS($H54)&gt;=$K$8,ABS($G54)&gt;=$L$8),B54,0)</f>
        <v>0</v>
      </c>
      <c r="C251" s="326">
        <f t="shared" si="53"/>
        <v>0</v>
      </c>
      <c r="D251" s="350"/>
      <c r="E251" s="326">
        <f t="shared" si="47"/>
        <v>0</v>
      </c>
      <c r="F251" s="326">
        <f t="shared" si="47"/>
        <v>0</v>
      </c>
      <c r="G251" s="326">
        <f t="shared" si="47"/>
        <v>0</v>
      </c>
      <c r="H251" s="2218">
        <f t="shared" si="47"/>
        <v>0</v>
      </c>
    </row>
    <row r="252" spans="2:8" ht="12.75" customHeight="1">
      <c r="B252" s="326">
        <f t="shared" ref="B252:C252" si="54">IF(AND(ABS($H55)&gt;=$K$8,ABS($G55)&gt;=$L$8),B55,0)</f>
        <v>0</v>
      </c>
      <c r="C252" s="326">
        <f t="shared" si="54"/>
        <v>0</v>
      </c>
      <c r="D252" s="350"/>
      <c r="E252" s="326">
        <f t="shared" si="47"/>
        <v>0</v>
      </c>
      <c r="F252" s="326">
        <f t="shared" si="47"/>
        <v>0</v>
      </c>
      <c r="G252" s="326">
        <f t="shared" si="47"/>
        <v>0</v>
      </c>
      <c r="H252" s="2218">
        <f t="shared" si="47"/>
        <v>0</v>
      </c>
    </row>
    <row r="253" spans="2:8" ht="12.75" customHeight="1">
      <c r="B253" s="326">
        <f t="shared" ref="B253:C253" si="55">IF(AND(ABS($H56)&gt;=$K$8,ABS($G56)&gt;=$L$8),B56,0)</f>
        <v>0</v>
      </c>
      <c r="C253" s="326">
        <f t="shared" si="55"/>
        <v>0</v>
      </c>
      <c r="D253" s="350"/>
      <c r="E253" s="326">
        <f t="shared" si="47"/>
        <v>0</v>
      </c>
      <c r="F253" s="326">
        <f t="shared" si="47"/>
        <v>0</v>
      </c>
      <c r="G253" s="326">
        <f t="shared" si="47"/>
        <v>0</v>
      </c>
      <c r="H253" s="2218">
        <f t="shared" si="47"/>
        <v>0</v>
      </c>
    </row>
    <row r="254" spans="2:8" ht="12.75" customHeight="1">
      <c r="B254" s="326" t="str">
        <f t="shared" ref="B254:C254" si="56">IF(AND(ABS($H57)&gt;=$K$8,ABS($G57)&gt;=$L$8),B57,0)</f>
        <v>84 רווחה</v>
      </c>
      <c r="C254" s="326">
        <f t="shared" si="56"/>
        <v>0</v>
      </c>
      <c r="D254" s="350"/>
      <c r="E254" s="326">
        <f t="shared" si="47"/>
        <v>91463</v>
      </c>
      <c r="F254" s="326">
        <f t="shared" si="47"/>
        <v>81945</v>
      </c>
      <c r="G254" s="326">
        <f t="shared" si="47"/>
        <v>9518</v>
      </c>
      <c r="H254" s="2218">
        <f t="shared" si="47"/>
        <v>0.11615107694185124</v>
      </c>
    </row>
    <row r="255" spans="2:8" ht="12.75" customHeight="1">
      <c r="B255" s="326">
        <f t="shared" ref="B255:C255" si="57">IF(AND(ABS($H58)&gt;=$K$8,ABS($G58)&gt;=$L$8),B58,0)</f>
        <v>0</v>
      </c>
      <c r="C255" s="326">
        <f t="shared" si="57"/>
        <v>0</v>
      </c>
      <c r="D255" s="350"/>
      <c r="E255" s="326">
        <f t="shared" si="47"/>
        <v>0</v>
      </c>
      <c r="F255" s="326">
        <f t="shared" si="47"/>
        <v>0</v>
      </c>
      <c r="G255" s="326">
        <f t="shared" si="47"/>
        <v>0</v>
      </c>
      <c r="H255" s="2218">
        <f t="shared" si="47"/>
        <v>0</v>
      </c>
    </row>
    <row r="256" spans="2:8" ht="12.75" customHeight="1">
      <c r="B256" s="326">
        <f t="shared" ref="B256:C256" si="58">IF(AND(ABS($H59)&gt;=$K$8,ABS($G59)&gt;=$L$8),B59,0)</f>
        <v>0</v>
      </c>
      <c r="C256" s="326">
        <f t="shared" si="58"/>
        <v>0</v>
      </c>
      <c r="D256" s="350"/>
      <c r="E256" s="326">
        <f t="shared" si="47"/>
        <v>0</v>
      </c>
      <c r="F256" s="326">
        <f t="shared" si="47"/>
        <v>0</v>
      </c>
      <c r="G256" s="326">
        <f t="shared" si="47"/>
        <v>0</v>
      </c>
      <c r="H256" s="2218">
        <f t="shared" si="47"/>
        <v>0</v>
      </c>
    </row>
    <row r="257" spans="2:8" ht="12.75" customHeight="1">
      <c r="B257" s="326">
        <f t="shared" ref="B257:C257" si="59">IF(AND(ABS($H60)&gt;=$K$8,ABS($G60)&gt;=$L$8),B60,0)</f>
        <v>0</v>
      </c>
      <c r="C257" s="326">
        <f t="shared" si="59"/>
        <v>0</v>
      </c>
      <c r="D257" s="350"/>
      <c r="E257" s="326">
        <f t="shared" si="47"/>
        <v>0</v>
      </c>
      <c r="F257" s="326">
        <f t="shared" si="47"/>
        <v>0</v>
      </c>
      <c r="G257" s="326">
        <f t="shared" si="47"/>
        <v>0</v>
      </c>
      <c r="H257" s="2218">
        <f t="shared" si="47"/>
        <v>0</v>
      </c>
    </row>
    <row r="258" spans="2:8" ht="12.75" customHeight="1">
      <c r="B258" s="326">
        <f t="shared" ref="B258:C258" si="60">IF(AND(ABS($H61)&gt;=$K$8,ABS($G61)&gt;=$L$8),B61,0)</f>
        <v>0</v>
      </c>
      <c r="C258" s="326">
        <f t="shared" si="60"/>
        <v>0</v>
      </c>
      <c r="D258" s="350"/>
      <c r="E258" s="326">
        <f t="shared" si="47"/>
        <v>0</v>
      </c>
      <c r="F258" s="326">
        <f t="shared" si="47"/>
        <v>0</v>
      </c>
      <c r="G258" s="326">
        <f t="shared" si="47"/>
        <v>0</v>
      </c>
      <c r="H258" s="2218">
        <f t="shared" si="47"/>
        <v>0</v>
      </c>
    </row>
    <row r="259" spans="2:8" ht="12.75" customHeight="1">
      <c r="B259" s="326">
        <f t="shared" ref="B259:C259" si="61">IF(AND(ABS($H62)&gt;=$K$8,ABS($G62)&gt;=$L$8),B62,0)</f>
        <v>0</v>
      </c>
      <c r="C259" s="326">
        <f t="shared" si="61"/>
        <v>0</v>
      </c>
      <c r="D259" s="350"/>
      <c r="E259" s="326">
        <f t="shared" si="47"/>
        <v>0</v>
      </c>
      <c r="F259" s="326">
        <f t="shared" si="47"/>
        <v>0</v>
      </c>
      <c r="G259" s="326">
        <f t="shared" si="47"/>
        <v>0</v>
      </c>
      <c r="H259" s="2218">
        <f t="shared" si="47"/>
        <v>0</v>
      </c>
    </row>
    <row r="260" spans="2:8" ht="12.75" customHeight="1">
      <c r="B260" s="326">
        <f t="shared" ref="B260:C260" si="62">IF(AND(ABS($H63)&gt;=$K$8,ABS($G63)&gt;=$L$8),B63,0)</f>
        <v>0</v>
      </c>
      <c r="C260" s="326">
        <f t="shared" si="62"/>
        <v>0</v>
      </c>
      <c r="D260" s="350"/>
      <c r="E260" s="326">
        <f t="shared" si="47"/>
        <v>0</v>
      </c>
      <c r="F260" s="326">
        <f t="shared" si="47"/>
        <v>0</v>
      </c>
      <c r="G260" s="326">
        <f t="shared" si="47"/>
        <v>0</v>
      </c>
      <c r="H260" s="2218">
        <f t="shared" si="47"/>
        <v>0</v>
      </c>
    </row>
    <row r="261" spans="2:8" ht="12.75" customHeight="1">
      <c r="B261" s="326" t="str">
        <f t="shared" ref="B261:C261" si="63">IF(AND(ABS($H64)&gt;=$K$8,ABS($G64)&gt;=$L$8),B64,0)</f>
        <v>94 תחבורה</v>
      </c>
      <c r="C261" s="326">
        <f t="shared" si="63"/>
        <v>0</v>
      </c>
      <c r="D261" s="350"/>
      <c r="E261" s="326">
        <f t="shared" si="47"/>
        <v>3951</v>
      </c>
      <c r="F261" s="326">
        <f t="shared" si="47"/>
        <v>3157</v>
      </c>
      <c r="G261" s="326">
        <f t="shared" si="47"/>
        <v>794</v>
      </c>
      <c r="H261" s="2218">
        <f t="shared" si="47"/>
        <v>0.25150459296800759</v>
      </c>
    </row>
    <row r="262" spans="2:8" ht="12.75" customHeight="1">
      <c r="B262" s="326">
        <f t="shared" ref="B262:C262" si="64">IF(AND(ABS($H65)&gt;=$K$8,ABS($G65)&gt;=$L$8),B65,0)</f>
        <v>0</v>
      </c>
      <c r="C262" s="326">
        <f t="shared" si="64"/>
        <v>0</v>
      </c>
      <c r="D262" s="350"/>
      <c r="E262" s="326">
        <f t="shared" si="47"/>
        <v>0</v>
      </c>
      <c r="F262" s="326">
        <f t="shared" si="47"/>
        <v>0</v>
      </c>
      <c r="G262" s="326">
        <f t="shared" si="47"/>
        <v>0</v>
      </c>
      <c r="H262" s="2218">
        <f t="shared" si="47"/>
        <v>0</v>
      </c>
    </row>
    <row r="263" spans="2:8" ht="12.75" customHeight="1">
      <c r="B263" s="326">
        <f t="shared" ref="B263:C263" si="65">IF(AND(ABS($H66)&gt;=$K$8,ABS($G66)&gt;=$L$8),B66,0)</f>
        <v>0</v>
      </c>
      <c r="C263" s="326">
        <f t="shared" si="65"/>
        <v>0</v>
      </c>
      <c r="D263" s="350"/>
      <c r="E263" s="326">
        <f t="shared" si="47"/>
        <v>0</v>
      </c>
      <c r="F263" s="326">
        <f t="shared" si="47"/>
        <v>0</v>
      </c>
      <c r="G263" s="326">
        <f t="shared" si="47"/>
        <v>0</v>
      </c>
      <c r="H263" s="2218">
        <f t="shared" si="47"/>
        <v>0</v>
      </c>
    </row>
    <row r="264" spans="2:8" ht="12.75" customHeight="1">
      <c r="B264" s="326">
        <f t="shared" ref="B264:C264" si="66">IF(AND(ABS($H67)&gt;=$K$8,ABS($G67)&gt;=$L$8),B67,0)</f>
        <v>0</v>
      </c>
      <c r="C264" s="326">
        <f t="shared" si="66"/>
        <v>0</v>
      </c>
      <c r="D264" s="350"/>
      <c r="E264" s="326">
        <f t="shared" si="47"/>
        <v>0</v>
      </c>
      <c r="F264" s="326">
        <f t="shared" si="47"/>
        <v>0</v>
      </c>
      <c r="G264" s="326">
        <f t="shared" si="47"/>
        <v>0</v>
      </c>
      <c r="H264" s="2218">
        <f t="shared" si="47"/>
        <v>0</v>
      </c>
    </row>
    <row r="265" spans="2:8" ht="12.75" customHeight="1">
      <c r="B265" s="326">
        <f t="shared" ref="B265:C266" si="67">IF(AND(ABS($H68)&gt;=$K$8,ABS($G68)&gt;=$L$8),B68,0)</f>
        <v>0</v>
      </c>
      <c r="C265" s="326">
        <f t="shared" si="67"/>
        <v>0</v>
      </c>
      <c r="D265" s="350"/>
      <c r="E265" s="326">
        <f t="shared" ref="E265:H267" si="68">IF(AND(ABS($H68)&gt;=$K$8,ABS($G68)&gt;=$L$8),E68,0)</f>
        <v>0</v>
      </c>
      <c r="F265" s="326">
        <f t="shared" si="68"/>
        <v>0</v>
      </c>
      <c r="G265" s="326">
        <f t="shared" si="68"/>
        <v>0</v>
      </c>
      <c r="H265" s="2218">
        <f t="shared" si="68"/>
        <v>0</v>
      </c>
    </row>
    <row r="266" spans="2:8" ht="12.75" customHeight="1">
      <c r="B266" s="326">
        <f t="shared" si="67"/>
        <v>0</v>
      </c>
      <c r="C266" s="326">
        <f t="shared" si="67"/>
        <v>0</v>
      </c>
      <c r="D266" s="350"/>
      <c r="E266" s="326">
        <f t="shared" si="68"/>
        <v>0</v>
      </c>
      <c r="F266" s="326">
        <f t="shared" si="68"/>
        <v>0</v>
      </c>
      <c r="G266" s="326">
        <f t="shared" si="68"/>
        <v>0</v>
      </c>
      <c r="H266" s="2218">
        <f t="shared" si="68"/>
        <v>0</v>
      </c>
    </row>
    <row r="267" spans="2:8" ht="12.75" customHeight="1">
      <c r="B267" s="350">
        <f>B70</f>
        <v>0</v>
      </c>
      <c r="C267" s="350">
        <f>C70</f>
        <v>0</v>
      </c>
      <c r="D267" s="350"/>
      <c r="E267" s="326">
        <f t="shared" si="68"/>
        <v>0</v>
      </c>
      <c r="F267" s="326">
        <f t="shared" si="68"/>
        <v>0</v>
      </c>
      <c r="G267" s="326">
        <f>IF(AND(ABS($H70)&gt;=$K$8,ABS($G70)&gt;=$L$8),G70,0)</f>
        <v>0</v>
      </c>
      <c r="H267" s="2218">
        <f t="shared" si="68"/>
        <v>0</v>
      </c>
    </row>
  </sheetData>
  <sheetProtection password="BEE5" sheet="1" objects="1" scenarios="1"/>
  <mergeCells count="7">
    <mergeCell ref="B198:H198"/>
    <mergeCell ref="B197:H197"/>
    <mergeCell ref="E1:I1"/>
    <mergeCell ref="B69:C69"/>
    <mergeCell ref="B39:C39"/>
    <mergeCell ref="E2:I2"/>
    <mergeCell ref="A3:B3"/>
  </mergeCells>
  <phoneticPr fontId="4" type="noConversion"/>
  <hyperlinks>
    <hyperlink ref="A3" location="'תוכן הענינים'!A1" display="הצג תוכן עינינים"/>
    <hyperlink ref="A3:B3" location="'תוכן הענינים'!A1" tooltip="לחץ להצגת גליון תוכן הענינים" display="הצג תוכן ענינים"/>
  </hyperlinks>
  <printOptions horizontalCentered="1"/>
  <pageMargins left="0.75" right="0.75" top="0.75" bottom="0.54" header="0.25" footer="0.36"/>
  <pageSetup paperSize="9" scale="85" orientation="portrait" blackAndWhite="1" r:id="rId1"/>
  <headerFooter alignWithMargins="0">
    <oddHeader>&amp;L&amp;8&amp;A</oddHeader>
    <oddFooter>&amp;C&amp;8&amp;P</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5"/>
  <dimension ref="A1:L263"/>
  <sheetViews>
    <sheetView showGridLines="0" showRowColHeaders="0" showZeros="0" rightToLeft="1" showOutlineSymbols="0" zoomScale="85" workbookViewId="0">
      <selection activeCell="L8" sqref="L8"/>
    </sheetView>
  </sheetViews>
  <sheetFormatPr defaultColWidth="9.109375" defaultRowHeight="13.2"/>
  <cols>
    <col min="1" max="1" width="9.109375" style="570"/>
    <col min="2" max="2" width="8.88671875" style="2234" customWidth="1"/>
    <col min="3" max="3" width="15.88671875" style="570" customWidth="1"/>
    <col min="4" max="4" width="9.109375" style="570" hidden="1" customWidth="1"/>
    <col min="5" max="8" width="12.33203125" style="570" customWidth="1"/>
    <col min="9" max="16384" width="9.109375" style="570"/>
  </cols>
  <sheetData>
    <row r="1" spans="1:12" ht="18" customHeight="1">
      <c r="A1" s="2219"/>
      <c r="B1" s="2219"/>
      <c r="C1" s="2219"/>
      <c r="D1" s="2219"/>
      <c r="E1" s="3458" t="str">
        <f>'הגדרות כלליות'!D6</f>
        <v>עירית הרצליה</v>
      </c>
      <c r="F1" s="3396"/>
      <c r="G1" s="3396"/>
      <c r="H1" s="3396"/>
      <c r="I1" s="3637"/>
      <c r="J1" s="297"/>
    </row>
    <row r="2" spans="1:12" ht="17.25" customHeight="1">
      <c r="A2" s="2219"/>
      <c r="B2" s="2219"/>
      <c r="C2" s="2219"/>
      <c r="D2" s="636"/>
      <c r="E2" s="3458" t="str">
        <f>CONCATENATE("השוואת ביצוע  בשנת ",'הגדרות כלליות'!D10)</f>
        <v>השוואת ביצוע  בשנת 2015</v>
      </c>
      <c r="F2" s="3638"/>
      <c r="G2" s="3638"/>
      <c r="H2" s="3638"/>
      <c r="I2" s="3549"/>
      <c r="J2" s="297"/>
    </row>
    <row r="3" spans="1:12" ht="15.75" customHeight="1">
      <c r="A3" s="2219"/>
      <c r="B3" s="2219"/>
      <c r="C3" s="2219"/>
      <c r="D3" s="2219"/>
      <c r="E3" s="3458" t="str">
        <f>CONCATENATE(" לעומת הביצוע בשנת ",'הגדרות כלליות'!D12)</f>
        <v xml:space="preserve"> לעומת הביצוע בשנת 2014</v>
      </c>
      <c r="F3" s="3639"/>
      <c r="G3" s="3458"/>
      <c r="H3" s="3458"/>
      <c r="I3" s="3640"/>
      <c r="J3" s="297"/>
    </row>
    <row r="4" spans="1:12">
      <c r="A4" s="7" t="s">
        <v>339</v>
      </c>
      <c r="B4" s="771"/>
      <c r="C4" s="771"/>
      <c r="D4" s="771"/>
      <c r="E4" s="771"/>
      <c r="F4" s="771"/>
      <c r="G4" s="771"/>
      <c r="H4" s="771"/>
      <c r="I4" s="2220"/>
    </row>
    <row r="5" spans="1:12" ht="30.75" customHeight="1">
      <c r="A5" s="574"/>
      <c r="B5" s="3641"/>
      <c r="C5" s="3641"/>
      <c r="D5" s="3641"/>
      <c r="E5" s="3641"/>
      <c r="F5" s="3641"/>
      <c r="G5" s="3641"/>
      <c r="H5" s="3641"/>
      <c r="I5" s="2220"/>
    </row>
    <row r="6" spans="1:12">
      <c r="A6" s="574"/>
      <c r="B6" s="2221"/>
      <c r="C6" s="2202"/>
      <c r="D6" s="2203"/>
      <c r="E6" s="198" t="str">
        <f>CONCATENATE("ביצוע ",'הגדרות כלליות'!D10)</f>
        <v>ביצוע 2015</v>
      </c>
      <c r="F6" s="198" t="str">
        <f>CONCATENATE("ביצוע ",'הגדרות כלליות'!D12)</f>
        <v>ביצוע 2014</v>
      </c>
      <c r="G6" s="198" t="s">
        <v>1168</v>
      </c>
      <c r="H6" s="2204" t="s">
        <v>1169</v>
      </c>
      <c r="I6" s="2220"/>
      <c r="K6" s="2977" t="s">
        <v>1146</v>
      </c>
    </row>
    <row r="7" spans="1:12">
      <c r="A7" s="574"/>
      <c r="B7" s="2222"/>
      <c r="C7" s="2205"/>
      <c r="D7" s="2205"/>
      <c r="E7" s="2205"/>
      <c r="F7" s="2205" t="s">
        <v>964</v>
      </c>
      <c r="G7" s="2205"/>
      <c r="H7" s="2206" t="s">
        <v>1085</v>
      </c>
      <c r="I7" s="2220"/>
      <c r="J7" s="621"/>
    </row>
    <row r="8" spans="1:12" ht="22.5" customHeight="1">
      <c r="A8" s="574"/>
      <c r="B8" s="2207" t="s">
        <v>1171</v>
      </c>
      <c r="C8" s="2223"/>
      <c r="D8" s="583"/>
      <c r="E8" s="583"/>
      <c r="F8" s="583"/>
      <c r="G8" s="583"/>
      <c r="H8" s="590"/>
      <c r="I8" s="2220"/>
      <c r="J8" s="621"/>
      <c r="K8" s="570">
        <f>+'נספח 7 לטופס 2'!$K$8</f>
        <v>0.1</v>
      </c>
      <c r="L8" s="570">
        <f>+'נספח 7 לטופס 2'!L8</f>
        <v>500</v>
      </c>
    </row>
    <row r="9" spans="1:12">
      <c r="A9" s="574"/>
      <c r="B9" s="2209" t="s">
        <v>400</v>
      </c>
      <c r="C9" s="407"/>
      <c r="D9" s="2224"/>
      <c r="E9" s="2225">
        <f>'טופס 2'!G11</f>
        <v>539906</v>
      </c>
      <c r="F9" s="2225">
        <f>'טופס 2'!I11</f>
        <v>500054</v>
      </c>
      <c r="G9" s="2225">
        <f t="shared" ref="G9:G40" si="0">E9 -F9</f>
        <v>39852</v>
      </c>
      <c r="H9" s="2226">
        <f t="shared" ref="H9:H40" si="1">IF(F9&lt;&gt;0,(G9/F9),0)</f>
        <v>7.9695392897567066E-2</v>
      </c>
      <c r="I9" s="2220"/>
    </row>
    <row r="10" spans="1:12">
      <c r="A10" s="574"/>
      <c r="B10" s="789" t="s">
        <v>1172</v>
      </c>
      <c r="C10" s="407"/>
      <c r="D10" s="2224"/>
      <c r="E10" s="2225">
        <f>'טופס 2'!G12</f>
        <v>3095</v>
      </c>
      <c r="F10" s="2225">
        <f>'טופס 2'!I12</f>
        <v>2803</v>
      </c>
      <c r="G10" s="2225">
        <f t="shared" si="0"/>
        <v>292</v>
      </c>
      <c r="H10" s="2226">
        <f t="shared" si="1"/>
        <v>0.10417409917945059</v>
      </c>
      <c r="I10" s="2220"/>
    </row>
    <row r="11" spans="1:12">
      <c r="A11" s="574"/>
      <c r="B11" s="789" t="s">
        <v>1173</v>
      </c>
      <c r="C11" s="407"/>
      <c r="D11" s="2224"/>
      <c r="E11" s="2225">
        <f>'טופס 2'!G13</f>
        <v>0</v>
      </c>
      <c r="F11" s="2225">
        <f>'טופס 2'!I13</f>
        <v>0</v>
      </c>
      <c r="G11" s="2225">
        <f t="shared" si="0"/>
        <v>0</v>
      </c>
      <c r="H11" s="2226">
        <f t="shared" si="1"/>
        <v>0</v>
      </c>
      <c r="I11" s="2220"/>
    </row>
    <row r="12" spans="1:12">
      <c r="A12" s="574"/>
      <c r="B12" s="789" t="s">
        <v>422</v>
      </c>
      <c r="C12" s="407"/>
      <c r="D12" s="2224"/>
      <c r="E12" s="2225">
        <f>'טופס 2'!G14</f>
        <v>0</v>
      </c>
      <c r="F12" s="2225">
        <f>'טופס 2'!I14</f>
        <v>0</v>
      </c>
      <c r="G12" s="2225">
        <f t="shared" si="0"/>
        <v>0</v>
      </c>
      <c r="H12" s="2226">
        <f t="shared" si="1"/>
        <v>0</v>
      </c>
      <c r="I12" s="2220"/>
    </row>
    <row r="13" spans="1:12">
      <c r="A13" s="574"/>
      <c r="B13" s="789" t="s">
        <v>1174</v>
      </c>
      <c r="C13" s="407"/>
      <c r="D13" s="2224"/>
      <c r="E13" s="2225">
        <f>'טופס 2'!G15</f>
        <v>0</v>
      </c>
      <c r="F13" s="2225">
        <f>'טופס 2'!I15</f>
        <v>0</v>
      </c>
      <c r="G13" s="2225">
        <f t="shared" si="0"/>
        <v>0</v>
      </c>
      <c r="H13" s="2226">
        <f t="shared" si="1"/>
        <v>0</v>
      </c>
      <c r="I13" s="2220"/>
    </row>
    <row r="14" spans="1:12">
      <c r="A14" s="574"/>
      <c r="B14" s="789" t="s">
        <v>423</v>
      </c>
      <c r="C14" s="407"/>
      <c r="D14" s="2224"/>
      <c r="E14" s="2225">
        <f>'טופס 2'!G16</f>
        <v>0</v>
      </c>
      <c r="F14" s="2225">
        <f>'טופס 2'!I16</f>
        <v>0</v>
      </c>
      <c r="G14" s="2225">
        <f t="shared" si="0"/>
        <v>0</v>
      </c>
      <c r="H14" s="2226">
        <f t="shared" si="1"/>
        <v>0</v>
      </c>
      <c r="I14" s="2220"/>
    </row>
    <row r="15" spans="1:12">
      <c r="A15" s="574"/>
      <c r="B15" s="2209" t="s">
        <v>424</v>
      </c>
      <c r="C15" s="407"/>
      <c r="D15" s="2224"/>
      <c r="E15" s="2225">
        <f>'טופס 2'!G17</f>
        <v>0</v>
      </c>
      <c r="F15" s="2225">
        <f>'טופס 2'!I17</f>
        <v>0</v>
      </c>
      <c r="G15" s="2225">
        <f t="shared" si="0"/>
        <v>0</v>
      </c>
      <c r="H15" s="2226">
        <f t="shared" si="1"/>
        <v>0</v>
      </c>
      <c r="I15" s="2220"/>
    </row>
    <row r="16" spans="1:12">
      <c r="A16" s="574"/>
      <c r="B16" s="2209" t="s">
        <v>427</v>
      </c>
      <c r="C16" s="2212"/>
      <c r="D16" s="2224"/>
      <c r="E16" s="2225">
        <f>'טופס 2'!G21</f>
        <v>3497</v>
      </c>
      <c r="F16" s="2225">
        <f>'טופס 2'!I21</f>
        <v>4023</v>
      </c>
      <c r="G16" s="2225">
        <f t="shared" si="0"/>
        <v>-526</v>
      </c>
      <c r="H16" s="2226">
        <f t="shared" si="1"/>
        <v>-0.13074819786229183</v>
      </c>
      <c r="I16" s="2220"/>
    </row>
    <row r="17" spans="1:9">
      <c r="A17" s="574"/>
      <c r="B17" s="2209" t="s">
        <v>429</v>
      </c>
      <c r="C17" s="2212"/>
      <c r="D17" s="2224"/>
      <c r="E17" s="2225">
        <f>'טופס 2'!G22</f>
        <v>197</v>
      </c>
      <c r="F17" s="2225">
        <f>'טופס 2'!I22</f>
        <v>173</v>
      </c>
      <c r="G17" s="2225">
        <f t="shared" si="0"/>
        <v>24</v>
      </c>
      <c r="H17" s="2226">
        <f t="shared" si="1"/>
        <v>0.13872832369942195</v>
      </c>
      <c r="I17" s="2220"/>
    </row>
    <row r="18" spans="1:9">
      <c r="A18" s="574"/>
      <c r="B18" s="2209" t="s">
        <v>431</v>
      </c>
      <c r="C18" s="2212"/>
      <c r="D18" s="2224"/>
      <c r="E18" s="2225">
        <f>'טופס 2'!G23</f>
        <v>17861</v>
      </c>
      <c r="F18" s="2225">
        <f>'טופס 2'!I23</f>
        <v>13304</v>
      </c>
      <c r="G18" s="2225">
        <f t="shared" si="0"/>
        <v>4557</v>
      </c>
      <c r="H18" s="2226">
        <f t="shared" si="1"/>
        <v>0.34252856283824412</v>
      </c>
      <c r="I18" s="2220"/>
    </row>
    <row r="19" spans="1:9">
      <c r="A19" s="574"/>
      <c r="B19" s="2209" t="s">
        <v>433</v>
      </c>
      <c r="C19" s="407"/>
      <c r="D19" s="2224"/>
      <c r="E19" s="2225">
        <f>'טופס 2'!G24</f>
        <v>1295</v>
      </c>
      <c r="F19" s="2225">
        <f>'טופס 2'!I24</f>
        <v>2085</v>
      </c>
      <c r="G19" s="2225">
        <f t="shared" si="0"/>
        <v>-790</v>
      </c>
      <c r="H19" s="2226">
        <f t="shared" si="1"/>
        <v>-0.37889688249400477</v>
      </c>
      <c r="I19" s="2220"/>
    </row>
    <row r="20" spans="1:9">
      <c r="A20" s="574"/>
      <c r="B20" s="2213" t="s">
        <v>1175</v>
      </c>
      <c r="C20" s="2212"/>
      <c r="D20" s="2224"/>
      <c r="E20" s="2225">
        <f>'טופס 2'!G25</f>
        <v>0</v>
      </c>
      <c r="F20" s="2225">
        <f>'טופס 2'!I25</f>
        <v>0</v>
      </c>
      <c r="G20" s="2225">
        <f t="shared" si="0"/>
        <v>0</v>
      </c>
      <c r="H20" s="2226">
        <f t="shared" si="1"/>
        <v>0</v>
      </c>
      <c r="I20" s="2220"/>
    </row>
    <row r="21" spans="1:9">
      <c r="A21" s="574"/>
      <c r="B21" s="2209" t="s">
        <v>437</v>
      </c>
      <c r="C21" s="407"/>
      <c r="D21" s="2224"/>
      <c r="E21" s="2225">
        <f>'טופס 2'!G26</f>
        <v>747</v>
      </c>
      <c r="F21" s="2225">
        <f>'טופס 2'!I26</f>
        <v>680</v>
      </c>
      <c r="G21" s="2225">
        <f t="shared" si="0"/>
        <v>67</v>
      </c>
      <c r="H21" s="2226">
        <f t="shared" si="1"/>
        <v>9.8529411764705879E-2</v>
      </c>
      <c r="I21" s="2220"/>
    </row>
    <row r="22" spans="1:9">
      <c r="A22" s="574"/>
      <c r="B22" s="2209" t="s">
        <v>439</v>
      </c>
      <c r="C22" s="2212"/>
      <c r="D22" s="2224"/>
      <c r="E22" s="2225">
        <f>'טופס 2'!G27</f>
        <v>0</v>
      </c>
      <c r="F22" s="2225">
        <f>'טופס 2'!I27</f>
        <v>0</v>
      </c>
      <c r="G22" s="2225">
        <f t="shared" si="0"/>
        <v>0</v>
      </c>
      <c r="H22" s="2226">
        <f t="shared" si="1"/>
        <v>0</v>
      </c>
      <c r="I22" s="2220"/>
    </row>
    <row r="23" spans="1:9">
      <c r="A23" s="574"/>
      <c r="B23" s="2209" t="s">
        <v>441</v>
      </c>
      <c r="C23" s="2212"/>
      <c r="D23" s="2224"/>
      <c r="E23" s="2225">
        <f>'טופס 2'!G28</f>
        <v>1103</v>
      </c>
      <c r="F23" s="2225">
        <f>'טופס 2'!I28</f>
        <v>1778</v>
      </c>
      <c r="G23" s="2225">
        <f t="shared" si="0"/>
        <v>-675</v>
      </c>
      <c r="H23" s="2226">
        <f t="shared" si="1"/>
        <v>-0.3796400449943757</v>
      </c>
      <c r="I23" s="2220"/>
    </row>
    <row r="24" spans="1:9">
      <c r="A24" s="574"/>
      <c r="B24" s="2209" t="s">
        <v>443</v>
      </c>
      <c r="C24" s="2212"/>
      <c r="D24" s="2224"/>
      <c r="E24" s="2225">
        <f>'טופס 2'!G29</f>
        <v>65</v>
      </c>
      <c r="F24" s="2225">
        <f>'טופס 2'!I29</f>
        <v>65</v>
      </c>
      <c r="G24" s="2225">
        <f t="shared" si="0"/>
        <v>0</v>
      </c>
      <c r="H24" s="2226">
        <f t="shared" si="1"/>
        <v>0</v>
      </c>
      <c r="I24" s="2220"/>
    </row>
    <row r="25" spans="1:9">
      <c r="A25" s="574"/>
      <c r="B25" s="2209" t="s">
        <v>447</v>
      </c>
      <c r="C25" s="407"/>
      <c r="D25" s="2224"/>
      <c r="E25" s="2225">
        <f>'טופס 2'!G33</f>
        <v>144463</v>
      </c>
      <c r="F25" s="2225">
        <f>'טופס 2'!I33</f>
        <v>139083</v>
      </c>
      <c r="G25" s="2225">
        <f t="shared" si="0"/>
        <v>5380</v>
      </c>
      <c r="H25" s="2226">
        <f t="shared" si="1"/>
        <v>3.8681938123278907E-2</v>
      </c>
      <c r="I25" s="2220"/>
    </row>
    <row r="26" spans="1:9">
      <c r="A26" s="574"/>
      <c r="B26" s="2209" t="s">
        <v>449</v>
      </c>
      <c r="C26" s="407"/>
      <c r="D26" s="2224"/>
      <c r="E26" s="2225">
        <f>'טופס 2'!G34</f>
        <v>3178</v>
      </c>
      <c r="F26" s="2225">
        <f>'טופס 2'!I34</f>
        <v>2727</v>
      </c>
      <c r="G26" s="2225">
        <f t="shared" si="0"/>
        <v>451</v>
      </c>
      <c r="H26" s="2226">
        <f t="shared" si="1"/>
        <v>0.16538320498716538</v>
      </c>
      <c r="I26" s="2220"/>
    </row>
    <row r="27" spans="1:9">
      <c r="A27" s="574"/>
      <c r="B27" s="2209" t="s">
        <v>451</v>
      </c>
      <c r="C27" s="407"/>
      <c r="D27" s="2224"/>
      <c r="E27" s="2225">
        <f>'טופס 2'!G35</f>
        <v>0</v>
      </c>
      <c r="F27" s="2225">
        <f>'טופס 2'!I35</f>
        <v>0</v>
      </c>
      <c r="G27" s="2225">
        <f t="shared" si="0"/>
        <v>0</v>
      </c>
      <c r="H27" s="2226">
        <f t="shared" si="1"/>
        <v>0</v>
      </c>
      <c r="I27" s="2220"/>
    </row>
    <row r="28" spans="1:9">
      <c r="A28" s="574"/>
      <c r="B28" s="2209" t="s">
        <v>453</v>
      </c>
      <c r="C28" s="407"/>
      <c r="D28" s="2224"/>
      <c r="E28" s="2225">
        <f>'טופס 2'!G36</f>
        <v>52940</v>
      </c>
      <c r="F28" s="2225">
        <f>'טופס 2'!I36</f>
        <v>49943</v>
      </c>
      <c r="G28" s="2225">
        <f t="shared" si="0"/>
        <v>2997</v>
      </c>
      <c r="H28" s="2226">
        <f t="shared" si="1"/>
        <v>6.0008409586929101E-2</v>
      </c>
      <c r="I28" s="2220"/>
    </row>
    <row r="29" spans="1:9">
      <c r="A29" s="574"/>
      <c r="B29" s="2209" t="s">
        <v>455</v>
      </c>
      <c r="C29" s="407"/>
      <c r="D29" s="2224"/>
      <c r="E29" s="2225">
        <f>'טופס 2'!G37</f>
        <v>0</v>
      </c>
      <c r="F29" s="2225">
        <f>'טופס 2'!I37</f>
        <v>0</v>
      </c>
      <c r="G29" s="2225">
        <f t="shared" si="0"/>
        <v>0</v>
      </c>
      <c r="H29" s="2226">
        <f t="shared" si="1"/>
        <v>0</v>
      </c>
      <c r="I29" s="2220"/>
    </row>
    <row r="30" spans="1:9">
      <c r="A30" s="574"/>
      <c r="B30" s="2209" t="s">
        <v>1176</v>
      </c>
      <c r="C30" s="407"/>
      <c r="D30" s="2224"/>
      <c r="E30" s="2225">
        <f>'טופס 2'!G38</f>
        <v>127</v>
      </c>
      <c r="F30" s="2225">
        <f>'טופס 2'!I38</f>
        <v>142</v>
      </c>
      <c r="G30" s="2225">
        <f t="shared" si="0"/>
        <v>-15</v>
      </c>
      <c r="H30" s="2226">
        <f t="shared" si="1"/>
        <v>-0.10563380281690141</v>
      </c>
      <c r="I30" s="2220"/>
    </row>
    <row r="31" spans="1:9">
      <c r="A31" s="574"/>
      <c r="B31" s="2209" t="s">
        <v>459</v>
      </c>
      <c r="C31" s="407"/>
      <c r="D31" s="2224"/>
      <c r="E31" s="2225">
        <f>'טופס 2'!G39</f>
        <v>36</v>
      </c>
      <c r="F31" s="2225">
        <f>'טופס 2'!I39</f>
        <v>188</v>
      </c>
      <c r="G31" s="2225">
        <f t="shared" si="0"/>
        <v>-152</v>
      </c>
      <c r="H31" s="2226">
        <f t="shared" si="1"/>
        <v>-0.80851063829787229</v>
      </c>
      <c r="I31" s="2220"/>
    </row>
    <row r="32" spans="1:9">
      <c r="A32" s="574"/>
      <c r="B32" s="2209" t="s">
        <v>463</v>
      </c>
      <c r="C32" s="407"/>
      <c r="D32" s="2224"/>
      <c r="E32" s="2225">
        <f>'טופס 2'!G43</f>
        <v>2879</v>
      </c>
      <c r="F32" s="2225">
        <f>'טופס 2'!I43</f>
        <v>2858</v>
      </c>
      <c r="G32" s="2225">
        <f t="shared" si="0"/>
        <v>21</v>
      </c>
      <c r="H32" s="2226">
        <f t="shared" si="1"/>
        <v>7.3477956613016097E-3</v>
      </c>
      <c r="I32" s="2220"/>
    </row>
    <row r="33" spans="1:9">
      <c r="A33" s="574"/>
      <c r="B33" s="2209" t="s">
        <v>465</v>
      </c>
      <c r="C33" s="407"/>
      <c r="D33" s="2224"/>
      <c r="E33" s="2225">
        <f>'טופס 2'!G44</f>
        <v>0</v>
      </c>
      <c r="F33" s="2225">
        <f>'טופס 2'!I44</f>
        <v>0</v>
      </c>
      <c r="G33" s="2225">
        <f t="shared" si="0"/>
        <v>0</v>
      </c>
      <c r="H33" s="2226">
        <f t="shared" si="1"/>
        <v>0</v>
      </c>
      <c r="I33" s="2220"/>
    </row>
    <row r="34" spans="1:9">
      <c r="A34" s="574"/>
      <c r="B34" s="2209" t="s">
        <v>467</v>
      </c>
      <c r="C34" s="407"/>
      <c r="D34" s="2224"/>
      <c r="E34" s="2225">
        <f>'טופס 2'!G45</f>
        <v>8665</v>
      </c>
      <c r="F34" s="2225">
        <f>'טופס 2'!I45</f>
        <v>7495</v>
      </c>
      <c r="G34" s="2225">
        <f t="shared" si="0"/>
        <v>1170</v>
      </c>
      <c r="H34" s="2226">
        <f t="shared" si="1"/>
        <v>0.1561040693795864</v>
      </c>
      <c r="I34" s="2220"/>
    </row>
    <row r="35" spans="1:9">
      <c r="A35" s="574"/>
      <c r="B35" s="2209" t="s">
        <v>469</v>
      </c>
      <c r="C35" s="407"/>
      <c r="D35" s="2224"/>
      <c r="E35" s="2225">
        <f>'טופס 2'!G46</f>
        <v>30511</v>
      </c>
      <c r="F35" s="2225">
        <f>'טופס 2'!I46</f>
        <v>23349</v>
      </c>
      <c r="G35" s="2225">
        <f t="shared" si="0"/>
        <v>7162</v>
      </c>
      <c r="H35" s="2226">
        <f t="shared" si="1"/>
        <v>0.30673690522078034</v>
      </c>
      <c r="I35" s="2220"/>
    </row>
    <row r="36" spans="1:9">
      <c r="A36" s="574"/>
      <c r="B36" s="2209" t="s">
        <v>471</v>
      </c>
      <c r="C36" s="407"/>
      <c r="D36" s="2224"/>
      <c r="E36" s="2225">
        <f>'טופס 2'!G47</f>
        <v>0</v>
      </c>
      <c r="F36" s="2225">
        <f>'טופס 2'!I47</f>
        <v>0</v>
      </c>
      <c r="G36" s="2225">
        <f t="shared" si="0"/>
        <v>0</v>
      </c>
      <c r="H36" s="2226">
        <f t="shared" si="1"/>
        <v>0</v>
      </c>
      <c r="I36" s="2220"/>
    </row>
    <row r="37" spans="1:9">
      <c r="A37" s="574"/>
      <c r="B37" s="2209" t="s">
        <v>473</v>
      </c>
      <c r="C37" s="407"/>
      <c r="D37" s="2224"/>
      <c r="E37" s="2225">
        <f>'טופס 2'!G48</f>
        <v>0</v>
      </c>
      <c r="F37" s="2225">
        <f>'טופס 2'!I48</f>
        <v>0</v>
      </c>
      <c r="G37" s="2225">
        <f t="shared" si="0"/>
        <v>0</v>
      </c>
      <c r="H37" s="2226">
        <f t="shared" si="1"/>
        <v>0</v>
      </c>
      <c r="I37" s="2220"/>
    </row>
    <row r="38" spans="1:9">
      <c r="A38" s="574"/>
      <c r="B38" s="2209" t="s">
        <v>475</v>
      </c>
      <c r="C38" s="407"/>
      <c r="D38" s="2224"/>
      <c r="E38" s="2225">
        <f>'טופס 2'!G49</f>
        <v>10067</v>
      </c>
      <c r="F38" s="2225">
        <f>'טופס 2'!I49</f>
        <v>11533</v>
      </c>
      <c r="G38" s="2225">
        <f t="shared" si="0"/>
        <v>-1466</v>
      </c>
      <c r="H38" s="2226">
        <f t="shared" si="1"/>
        <v>-0.12711350039018468</v>
      </c>
      <c r="I38" s="2220"/>
    </row>
    <row r="39" spans="1:9">
      <c r="A39" s="574"/>
      <c r="B39" s="2209" t="s">
        <v>476</v>
      </c>
      <c r="C39" s="407"/>
      <c r="D39" s="2224"/>
      <c r="E39" s="2225">
        <f>'טופס 2'!G50</f>
        <v>0</v>
      </c>
      <c r="F39" s="2225">
        <f>'טופס 2'!I50</f>
        <v>0</v>
      </c>
      <c r="G39" s="2225">
        <f t="shared" si="0"/>
        <v>0</v>
      </c>
      <c r="H39" s="2226">
        <f t="shared" si="1"/>
        <v>0</v>
      </c>
      <c r="I39" s="2220"/>
    </row>
    <row r="40" spans="1:9" ht="13.2" customHeight="1">
      <c r="A40" s="574"/>
      <c r="B40" s="3631" t="s">
        <v>1177</v>
      </c>
      <c r="C40" s="3632"/>
      <c r="D40" s="2224"/>
      <c r="E40" s="2225">
        <f>'טופס 2'!G53</f>
        <v>33153</v>
      </c>
      <c r="F40" s="2225">
        <f>'טופס 2'!I53</f>
        <v>33412</v>
      </c>
      <c r="G40" s="2225">
        <f t="shared" si="0"/>
        <v>-259</v>
      </c>
      <c r="H40" s="2226">
        <f t="shared" si="1"/>
        <v>-7.7517059739015924E-3</v>
      </c>
      <c r="I40" s="2220"/>
    </row>
    <row r="41" spans="1:9" ht="30" customHeight="1">
      <c r="A41" s="574"/>
      <c r="B41" s="774" t="s">
        <v>1178</v>
      </c>
      <c r="C41" s="407"/>
      <c r="D41" s="2214"/>
      <c r="E41" s="2227"/>
      <c r="F41" s="2227"/>
      <c r="G41" s="2227"/>
      <c r="H41" s="2228"/>
      <c r="I41" s="2220"/>
    </row>
    <row r="42" spans="1:9">
      <c r="A42" s="574"/>
      <c r="B42" s="2217" t="s">
        <v>417</v>
      </c>
      <c r="C42" s="407"/>
      <c r="D42" s="2224"/>
      <c r="E42" s="2225">
        <f>'טופס 2'!P11</f>
        <v>28572</v>
      </c>
      <c r="F42" s="2225">
        <f>'טופס 2'!R11</f>
        <v>27289</v>
      </c>
      <c r="G42" s="2225">
        <f t="shared" ref="G42:G70" si="2">E42 -F42</f>
        <v>1283</v>
      </c>
      <c r="H42" s="2226">
        <f t="shared" ref="H42:H70" si="3">IF(F42&lt;&gt;0,(G42/F42),0)</f>
        <v>4.7015280882406828E-2</v>
      </c>
      <c r="I42" s="2220"/>
    </row>
    <row r="43" spans="1:9">
      <c r="A43" s="574"/>
      <c r="B43" s="2217" t="s">
        <v>419</v>
      </c>
      <c r="C43" s="407"/>
      <c r="D43" s="2224"/>
      <c r="E43" s="2225">
        <f>'טופס 2'!P12</f>
        <v>16742</v>
      </c>
      <c r="F43" s="2225">
        <f>'טופס 2'!R12</f>
        <v>16253</v>
      </c>
      <c r="G43" s="2225">
        <f t="shared" si="2"/>
        <v>489</v>
      </c>
      <c r="H43" s="2226">
        <f t="shared" si="3"/>
        <v>3.0086753214791116E-2</v>
      </c>
      <c r="I43" s="2220"/>
    </row>
    <row r="44" spans="1:9">
      <c r="A44" s="574"/>
      <c r="B44" s="2217" t="s">
        <v>421</v>
      </c>
      <c r="C44" s="407"/>
      <c r="D44" s="2224"/>
      <c r="E44" s="2225">
        <f>'טופס 2'!P13</f>
        <v>2630</v>
      </c>
      <c r="F44" s="2225">
        <f>'טופס 2'!R13</f>
        <v>2503</v>
      </c>
      <c r="G44" s="2225">
        <f t="shared" si="2"/>
        <v>127</v>
      </c>
      <c r="H44" s="2226">
        <f t="shared" si="3"/>
        <v>5.0739113064322813E-2</v>
      </c>
      <c r="I44" s="2220"/>
    </row>
    <row r="45" spans="1:9">
      <c r="A45" s="574"/>
      <c r="B45" s="2217" t="s">
        <v>1179</v>
      </c>
      <c r="C45" s="407"/>
      <c r="D45" s="2224"/>
      <c r="E45" s="2225">
        <f>'טופס 2'!P14</f>
        <v>24801</v>
      </c>
      <c r="F45" s="2225">
        <f>'טופס 2'!R14</f>
        <v>30031</v>
      </c>
      <c r="G45" s="2225">
        <f t="shared" si="2"/>
        <v>-5230</v>
      </c>
      <c r="H45" s="2226">
        <f t="shared" si="3"/>
        <v>-0.17415337484599247</v>
      </c>
      <c r="I45" s="2220"/>
    </row>
    <row r="46" spans="1:9">
      <c r="A46" s="574"/>
      <c r="B46" s="2209" t="s">
        <v>428</v>
      </c>
      <c r="C46" s="2212"/>
      <c r="D46" s="2224"/>
      <c r="E46" s="2225">
        <f>'טופס 2'!P21</f>
        <v>67782</v>
      </c>
      <c r="F46" s="2225">
        <f>'טופס 2'!R21</f>
        <v>64817</v>
      </c>
      <c r="G46" s="2225">
        <f t="shared" si="2"/>
        <v>2965</v>
      </c>
      <c r="H46" s="2226">
        <f t="shared" si="3"/>
        <v>4.5744172053627907E-2</v>
      </c>
      <c r="I46" s="2220"/>
    </row>
    <row r="47" spans="1:9">
      <c r="A47" s="574"/>
      <c r="B47" s="2209" t="s">
        <v>430</v>
      </c>
      <c r="C47" s="2212"/>
      <c r="D47" s="2224"/>
      <c r="E47" s="2225">
        <f>'טופס 2'!P22</f>
        <v>11796</v>
      </c>
      <c r="F47" s="2225">
        <f>'טופס 2'!R22</f>
        <v>11709</v>
      </c>
      <c r="G47" s="2225">
        <f t="shared" si="2"/>
        <v>87</v>
      </c>
      <c r="H47" s="2226">
        <f t="shared" si="3"/>
        <v>7.4301819113502436E-3</v>
      </c>
      <c r="I47" s="2220"/>
    </row>
    <row r="48" spans="1:9">
      <c r="A48" s="574"/>
      <c r="B48" s="2209" t="s">
        <v>432</v>
      </c>
      <c r="C48" s="2212"/>
      <c r="D48" s="2224"/>
      <c r="E48" s="2225">
        <f>'טופס 2'!P23</f>
        <v>14634</v>
      </c>
      <c r="F48" s="2225">
        <f>'טופס 2'!R23</f>
        <v>13409</v>
      </c>
      <c r="G48" s="2225">
        <f t="shared" si="2"/>
        <v>1225</v>
      </c>
      <c r="H48" s="2226">
        <f t="shared" si="3"/>
        <v>9.1356551569841155E-2</v>
      </c>
      <c r="I48" s="2220"/>
    </row>
    <row r="49" spans="1:9">
      <c r="A49" s="574"/>
      <c r="B49" s="2209" t="s">
        <v>434</v>
      </c>
      <c r="C49" s="407"/>
      <c r="D49" s="2224"/>
      <c r="E49" s="2225">
        <f>'טופס 2'!P24</f>
        <v>53283</v>
      </c>
      <c r="F49" s="2225">
        <f>'טופס 2'!R24</f>
        <v>53872</v>
      </c>
      <c r="G49" s="2225">
        <f t="shared" si="2"/>
        <v>-589</v>
      </c>
      <c r="H49" s="2226">
        <f t="shared" si="3"/>
        <v>-1.0933323433323433E-2</v>
      </c>
      <c r="I49" s="2220"/>
    </row>
    <row r="50" spans="1:9">
      <c r="A50" s="574"/>
      <c r="B50" s="2213" t="s">
        <v>1180</v>
      </c>
      <c r="C50" s="2212"/>
      <c r="D50" s="2224"/>
      <c r="E50" s="2225">
        <f>'טופס 2'!P25</f>
        <v>1686</v>
      </c>
      <c r="F50" s="2225">
        <f>'טופס 2'!R25</f>
        <v>1375</v>
      </c>
      <c r="G50" s="2225">
        <f t="shared" si="2"/>
        <v>311</v>
      </c>
      <c r="H50" s="2226">
        <f t="shared" si="3"/>
        <v>0.22618181818181818</v>
      </c>
      <c r="I50" s="2220"/>
    </row>
    <row r="51" spans="1:9">
      <c r="A51" s="574"/>
      <c r="B51" s="2209" t="s">
        <v>438</v>
      </c>
      <c r="C51" s="407"/>
      <c r="D51" s="2224"/>
      <c r="E51" s="2225">
        <f>'טופס 2'!P26</f>
        <v>14896</v>
      </c>
      <c r="F51" s="2225">
        <f>'טופס 2'!R26</f>
        <v>13567</v>
      </c>
      <c r="G51" s="2225">
        <f t="shared" si="2"/>
        <v>1329</v>
      </c>
      <c r="H51" s="2226">
        <f t="shared" si="3"/>
        <v>9.7958281123313923E-2</v>
      </c>
      <c r="I51" s="2220"/>
    </row>
    <row r="52" spans="1:9">
      <c r="A52" s="574"/>
      <c r="B52" s="2209" t="s">
        <v>440</v>
      </c>
      <c r="C52" s="2212"/>
      <c r="D52" s="2224"/>
      <c r="E52" s="2225">
        <f>'טופס 2'!P27</f>
        <v>873</v>
      </c>
      <c r="F52" s="2225">
        <f>'טופס 2'!R27</f>
        <v>657</v>
      </c>
      <c r="G52" s="2225">
        <f t="shared" si="2"/>
        <v>216</v>
      </c>
      <c r="H52" s="2226">
        <f t="shared" si="3"/>
        <v>0.32876712328767121</v>
      </c>
      <c r="I52" s="2220"/>
    </row>
    <row r="53" spans="1:9">
      <c r="A53" s="574"/>
      <c r="B53" s="2209" t="s">
        <v>442</v>
      </c>
      <c r="C53" s="2212"/>
      <c r="D53" s="2224"/>
      <c r="E53" s="2225">
        <f>'טופס 2'!P28</f>
        <v>7474</v>
      </c>
      <c r="F53" s="2225">
        <f>'טופס 2'!R28</f>
        <v>8250</v>
      </c>
      <c r="G53" s="2225">
        <f t="shared" si="2"/>
        <v>-776</v>
      </c>
      <c r="H53" s="2226">
        <f t="shared" si="3"/>
        <v>-9.4060606060606067E-2</v>
      </c>
      <c r="I53" s="2220"/>
    </row>
    <row r="54" spans="1:9">
      <c r="A54" s="574"/>
      <c r="B54" s="2209" t="s">
        <v>444</v>
      </c>
      <c r="C54" s="2212"/>
      <c r="D54" s="2224"/>
      <c r="E54" s="2225">
        <f>'טופס 2'!P29</f>
        <v>43</v>
      </c>
      <c r="F54" s="2225">
        <f>'טופס 2'!R29</f>
        <v>43</v>
      </c>
      <c r="G54" s="2225">
        <f t="shared" si="2"/>
        <v>0</v>
      </c>
      <c r="H54" s="2226">
        <f t="shared" si="3"/>
        <v>0</v>
      </c>
      <c r="I54" s="2220"/>
    </row>
    <row r="55" spans="1:9">
      <c r="A55" s="574"/>
      <c r="B55" s="2209" t="s">
        <v>448</v>
      </c>
      <c r="C55" s="407"/>
      <c r="D55" s="2224"/>
      <c r="E55" s="2225">
        <f>'טופס 2'!P33</f>
        <v>259979</v>
      </c>
      <c r="F55" s="2225">
        <f>'טופס 2'!R33</f>
        <v>246128</v>
      </c>
      <c r="G55" s="2225">
        <f t="shared" si="2"/>
        <v>13851</v>
      </c>
      <c r="H55" s="2226">
        <f t="shared" si="3"/>
        <v>5.6275596437625953E-2</v>
      </c>
      <c r="I55" s="2220"/>
    </row>
    <row r="56" spans="1:9">
      <c r="A56" s="574"/>
      <c r="B56" s="2209" t="s">
        <v>450</v>
      </c>
      <c r="C56" s="407"/>
      <c r="D56" s="2224"/>
      <c r="E56" s="2225">
        <f>'טופס 2'!P34</f>
        <v>67481</v>
      </c>
      <c r="F56" s="2225">
        <f>'טופס 2'!R34</f>
        <v>64251</v>
      </c>
      <c r="G56" s="2225">
        <f t="shared" si="2"/>
        <v>3230</v>
      </c>
      <c r="H56" s="2226">
        <f t="shared" si="3"/>
        <v>5.0271591103640413E-2</v>
      </c>
      <c r="I56" s="2220"/>
    </row>
    <row r="57" spans="1:9">
      <c r="A57" s="574"/>
      <c r="B57" s="2209" t="s">
        <v>452</v>
      </c>
      <c r="C57" s="407"/>
      <c r="D57" s="2224"/>
      <c r="E57" s="2225">
        <f>'טופס 2'!P35</f>
        <v>1742</v>
      </c>
      <c r="F57" s="2225">
        <f>'טופס 2'!R35</f>
        <v>1590</v>
      </c>
      <c r="G57" s="2225">
        <f t="shared" si="2"/>
        <v>152</v>
      </c>
      <c r="H57" s="2226">
        <f t="shared" si="3"/>
        <v>9.5597484276729566E-2</v>
      </c>
      <c r="I57" s="2220"/>
    </row>
    <row r="58" spans="1:9">
      <c r="A58" s="574"/>
      <c r="B58" s="2209" t="s">
        <v>454</v>
      </c>
      <c r="C58" s="407"/>
      <c r="D58" s="2224"/>
      <c r="E58" s="2225">
        <f>'טופס 2'!P36</f>
        <v>87479</v>
      </c>
      <c r="F58" s="2225">
        <f>'טופס 2'!R36</f>
        <v>81945</v>
      </c>
      <c r="G58" s="2225">
        <f t="shared" si="2"/>
        <v>5534</v>
      </c>
      <c r="H58" s="2226">
        <f t="shared" si="3"/>
        <v>6.7533101470498499E-2</v>
      </c>
      <c r="I58" s="2220"/>
    </row>
    <row r="59" spans="1:9">
      <c r="A59" s="574"/>
      <c r="B59" s="2209" t="s">
        <v>1181</v>
      </c>
      <c r="C59" s="407"/>
      <c r="D59" s="2224"/>
      <c r="E59" s="2225">
        <f>'טופס 2'!P37</f>
        <v>6397</v>
      </c>
      <c r="F59" s="2225">
        <f>'טופס 2'!R37</f>
        <v>6385</v>
      </c>
      <c r="G59" s="2225">
        <f t="shared" si="2"/>
        <v>12</v>
      </c>
      <c r="H59" s="2226">
        <f t="shared" si="3"/>
        <v>1.8794048551292091E-3</v>
      </c>
      <c r="I59" s="2220"/>
    </row>
    <row r="60" spans="1:9">
      <c r="A60" s="574"/>
      <c r="B60" s="2209" t="s">
        <v>1182</v>
      </c>
      <c r="C60" s="407"/>
      <c r="D60" s="2224"/>
      <c r="E60" s="2225">
        <f>'טופס 2'!P38</f>
        <v>360</v>
      </c>
      <c r="F60" s="2225">
        <f>'טופס 2'!R38</f>
        <v>355</v>
      </c>
      <c r="G60" s="2225">
        <f t="shared" si="2"/>
        <v>5</v>
      </c>
      <c r="H60" s="2226">
        <f t="shared" si="3"/>
        <v>1.4084507042253521E-2</v>
      </c>
      <c r="I60" s="2220"/>
    </row>
    <row r="61" spans="1:9">
      <c r="A61" s="574"/>
      <c r="B61" s="2209" t="s">
        <v>460</v>
      </c>
      <c r="C61" s="407"/>
      <c r="D61" s="2224"/>
      <c r="E61" s="2225">
        <f>'טופס 2'!P39</f>
        <v>1803</v>
      </c>
      <c r="F61" s="2225">
        <f>'טופס 2'!R39</f>
        <v>1709</v>
      </c>
      <c r="G61" s="2225">
        <f t="shared" si="2"/>
        <v>94</v>
      </c>
      <c r="H61" s="2226">
        <f t="shared" si="3"/>
        <v>5.500292568753657E-2</v>
      </c>
      <c r="I61" s="2220"/>
    </row>
    <row r="62" spans="1:9">
      <c r="A62" s="574"/>
      <c r="B62" s="2209" t="s">
        <v>464</v>
      </c>
      <c r="C62" s="407"/>
      <c r="D62" s="2224"/>
      <c r="E62" s="2225">
        <f>'טופס 2'!P43</f>
        <v>2502</v>
      </c>
      <c r="F62" s="2225">
        <f>'טופס 2'!R43</f>
        <v>2511</v>
      </c>
      <c r="G62" s="2225">
        <f t="shared" si="2"/>
        <v>-9</v>
      </c>
      <c r="H62" s="2226">
        <f t="shared" si="3"/>
        <v>-3.5842293906810036E-3</v>
      </c>
      <c r="I62" s="2220"/>
    </row>
    <row r="63" spans="1:9">
      <c r="A63" s="574"/>
      <c r="B63" s="2209" t="s">
        <v>466</v>
      </c>
      <c r="C63" s="407"/>
      <c r="D63" s="2224"/>
      <c r="E63" s="2225">
        <f>'טופס 2'!P44</f>
        <v>0</v>
      </c>
      <c r="F63" s="2225">
        <f>'טופס 2'!R44</f>
        <v>0</v>
      </c>
      <c r="G63" s="2225">
        <f t="shared" si="2"/>
        <v>0</v>
      </c>
      <c r="H63" s="2226">
        <f t="shared" si="3"/>
        <v>0</v>
      </c>
      <c r="I63" s="2220"/>
    </row>
    <row r="64" spans="1:9">
      <c r="A64" s="574"/>
      <c r="B64" s="2209" t="s">
        <v>468</v>
      </c>
      <c r="C64" s="407"/>
      <c r="D64" s="2224"/>
      <c r="E64" s="2225">
        <f>'טופס 2'!P45</f>
        <v>17249</v>
      </c>
      <c r="F64" s="2225">
        <f>'טופס 2'!R45</f>
        <v>17253</v>
      </c>
      <c r="G64" s="2225">
        <f t="shared" si="2"/>
        <v>-4</v>
      </c>
      <c r="H64" s="2226">
        <f t="shared" si="3"/>
        <v>-2.318437373210456E-4</v>
      </c>
      <c r="I64" s="2220"/>
    </row>
    <row r="65" spans="1:9">
      <c r="A65" s="574"/>
      <c r="B65" s="2209" t="s">
        <v>470</v>
      </c>
      <c r="C65" s="407"/>
      <c r="D65" s="2224"/>
      <c r="E65" s="2225">
        <f>'טופס 2'!P46</f>
        <v>3543</v>
      </c>
      <c r="F65" s="2225">
        <f>'טופס 2'!R46</f>
        <v>3157</v>
      </c>
      <c r="G65" s="2225">
        <f t="shared" si="2"/>
        <v>386</v>
      </c>
      <c r="H65" s="2226">
        <f t="shared" si="3"/>
        <v>0.12226797592651251</v>
      </c>
      <c r="I65" s="2220"/>
    </row>
    <row r="66" spans="1:9">
      <c r="A66" s="574"/>
      <c r="B66" s="2209" t="s">
        <v>472</v>
      </c>
      <c r="C66" s="407"/>
      <c r="D66" s="2224"/>
      <c r="E66" s="2225">
        <f>'טופס 2'!P47</f>
        <v>0</v>
      </c>
      <c r="F66" s="2225">
        <f>'טופס 2'!R47</f>
        <v>0</v>
      </c>
      <c r="G66" s="2225">
        <f t="shared" si="2"/>
        <v>0</v>
      </c>
      <c r="H66" s="2226">
        <f t="shared" si="3"/>
        <v>0</v>
      </c>
      <c r="I66" s="2220"/>
    </row>
    <row r="67" spans="1:9">
      <c r="A67" s="574"/>
      <c r="B67" s="2209" t="s">
        <v>474</v>
      </c>
      <c r="C67" s="407"/>
      <c r="D67" s="2224"/>
      <c r="E67" s="2225">
        <f>'טופס 2'!P48</f>
        <v>0</v>
      </c>
      <c r="F67" s="2225">
        <f>'טופס 2'!R48</f>
        <v>0</v>
      </c>
      <c r="G67" s="2225">
        <f t="shared" si="2"/>
        <v>0</v>
      </c>
      <c r="H67" s="2226">
        <f t="shared" si="3"/>
        <v>0</v>
      </c>
      <c r="I67" s="2220"/>
    </row>
    <row r="68" spans="1:9">
      <c r="A68" s="574"/>
      <c r="B68" s="2209" t="s">
        <v>1183</v>
      </c>
      <c r="C68" s="407"/>
      <c r="D68" s="2224"/>
      <c r="E68" s="2225">
        <f>'טופס 2'!P49</f>
        <v>11117</v>
      </c>
      <c r="F68" s="2225">
        <f>'טופס 2'!R49</f>
        <v>11484</v>
      </c>
      <c r="G68" s="2225">
        <f t="shared" si="2"/>
        <v>-367</v>
      </c>
      <c r="H68" s="2226">
        <f t="shared" si="3"/>
        <v>-3.1957506095437127E-2</v>
      </c>
      <c r="I68" s="2220"/>
    </row>
    <row r="69" spans="1:9">
      <c r="A69" s="574"/>
      <c r="B69" s="2209" t="s">
        <v>477</v>
      </c>
      <c r="C69" s="407"/>
      <c r="D69" s="2224"/>
      <c r="E69" s="2225">
        <f>'טופס 2'!P50</f>
        <v>0</v>
      </c>
      <c r="F69" s="2225">
        <f>'טופס 2'!R50</f>
        <v>0</v>
      </c>
      <c r="G69" s="2225">
        <f t="shared" si="2"/>
        <v>0</v>
      </c>
      <c r="H69" s="2226">
        <f t="shared" si="3"/>
        <v>0</v>
      </c>
      <c r="I69" s="2220"/>
    </row>
    <row r="70" spans="1:9">
      <c r="A70" s="574"/>
      <c r="B70" s="3631" t="s">
        <v>1184</v>
      </c>
      <c r="C70" s="3632"/>
      <c r="D70" s="2224"/>
      <c r="E70" s="2225">
        <f>'טופס 2'!$P$53</f>
        <v>131404</v>
      </c>
      <c r="F70" s="2225">
        <f>'טופס 2'!$R$53</f>
        <v>104510</v>
      </c>
      <c r="G70" s="2225">
        <f t="shared" si="2"/>
        <v>26894</v>
      </c>
      <c r="H70" s="2226">
        <f t="shared" si="3"/>
        <v>0.25733422638981918</v>
      </c>
      <c r="I70" s="2220"/>
    </row>
    <row r="71" spans="1:9">
      <c r="A71" s="574"/>
      <c r="B71" s="2229"/>
      <c r="C71" s="2230"/>
      <c r="D71" s="607"/>
      <c r="E71" s="607"/>
      <c r="F71" s="607"/>
      <c r="G71" s="607"/>
      <c r="H71" s="609"/>
      <c r="I71" s="2220"/>
    </row>
    <row r="72" spans="1:9" ht="13.8" thickBot="1">
      <c r="A72" s="2231"/>
      <c r="B72" s="2232"/>
      <c r="C72" s="2231"/>
      <c r="D72" s="2231"/>
      <c r="E72" s="2231"/>
      <c r="F72" s="2231"/>
      <c r="G72" s="2231"/>
      <c r="H72" s="2231"/>
      <c r="I72" s="2233"/>
    </row>
    <row r="73" spans="1:9" ht="13.8" thickTop="1"/>
    <row r="194" spans="2:8" ht="15.6">
      <c r="B194" s="3390" t="str">
        <f>E1</f>
        <v>עירית הרצליה</v>
      </c>
      <c r="C194" s="3390"/>
      <c r="D194" s="3390"/>
      <c r="E194" s="3390"/>
      <c r="F194" s="3390"/>
      <c r="G194" s="3390"/>
      <c r="H194" s="3390"/>
    </row>
    <row r="195" spans="2:8" ht="15.6">
      <c r="B195" s="3390" t="str">
        <f>E2</f>
        <v>השוואת ביצוע  בשנת 2015</v>
      </c>
      <c r="C195" s="3390"/>
      <c r="D195" s="3390"/>
      <c r="E195" s="3390"/>
      <c r="F195" s="3390"/>
      <c r="G195" s="3390"/>
      <c r="H195" s="3390"/>
    </row>
    <row r="196" spans="2:8" ht="15.6">
      <c r="B196" s="3390" t="str">
        <f>E3</f>
        <v xml:space="preserve"> לעומת הביצוע בשנת 2014</v>
      </c>
      <c r="C196" s="3390"/>
      <c r="D196" s="3390"/>
      <c r="E196" s="3390"/>
      <c r="F196" s="3390"/>
      <c r="G196" s="3390"/>
      <c r="H196" s="3390"/>
    </row>
    <row r="199" spans="2:8">
      <c r="B199" s="3636">
        <f>B6</f>
        <v>0</v>
      </c>
      <c r="C199" s="3636"/>
      <c r="D199" s="798">
        <f>D6</f>
        <v>0</v>
      </c>
      <c r="E199" s="798" t="str">
        <f>E6</f>
        <v>ביצוע 2015</v>
      </c>
      <c r="F199" s="798" t="str">
        <f>F6</f>
        <v>ביצוע 2014</v>
      </c>
      <c r="G199" s="798" t="str">
        <f>G6</f>
        <v>הפרש</v>
      </c>
      <c r="H199" s="798" t="str">
        <f>H6</f>
        <v>סטיה</v>
      </c>
    </row>
    <row r="200" spans="2:8">
      <c r="B200" s="3636">
        <f>B7</f>
        <v>0</v>
      </c>
      <c r="C200" s="3636"/>
      <c r="D200" s="347"/>
      <c r="E200" s="347">
        <f t="shared" ref="E200:H201" si="4">E7</f>
        <v>0</v>
      </c>
      <c r="F200" s="347" t="str">
        <f t="shared" si="4"/>
        <v>אלפי ש"ח</v>
      </c>
      <c r="G200" s="347">
        <f t="shared" si="4"/>
        <v>0</v>
      </c>
      <c r="H200" s="347" t="str">
        <f t="shared" si="4"/>
        <v>%</v>
      </c>
    </row>
    <row r="201" spans="2:8">
      <c r="B201" s="3488" t="str">
        <f>B8</f>
        <v>תקבולים:</v>
      </c>
      <c r="C201" s="3488"/>
      <c r="D201" s="350"/>
      <c r="E201" s="350">
        <f t="shared" si="4"/>
        <v>0</v>
      </c>
      <c r="F201" s="350">
        <f t="shared" si="4"/>
        <v>0</v>
      </c>
      <c r="G201" s="350">
        <f t="shared" si="4"/>
        <v>0</v>
      </c>
      <c r="H201" s="2277">
        <f t="shared" si="4"/>
        <v>0</v>
      </c>
    </row>
    <row r="202" spans="2:8">
      <c r="B202" s="326">
        <f t="shared" ref="B202:C202" si="5">IF(AND(ABS($H9)&gt;=$K$8,ABS($G9)&gt;=$L$8),B9,0)</f>
        <v>0</v>
      </c>
      <c r="C202" s="326">
        <f t="shared" si="5"/>
        <v>0</v>
      </c>
      <c r="D202" s="350"/>
      <c r="E202" s="326">
        <f t="shared" ref="E202:H221" si="6">IF(AND(ABS($H9)&gt;=$K$8,ABS($G9)&gt;=$L$8),E9,0)</f>
        <v>0</v>
      </c>
      <c r="F202" s="326">
        <f t="shared" si="6"/>
        <v>0</v>
      </c>
      <c r="G202" s="326">
        <f t="shared" si="6"/>
        <v>0</v>
      </c>
      <c r="H202" s="2277">
        <f t="shared" si="6"/>
        <v>0</v>
      </c>
    </row>
    <row r="203" spans="2:8">
      <c r="B203" s="326">
        <f t="shared" ref="B203:C203" si="7">IF(AND(ABS($H10)&gt;=$K$8,ABS($G10)&gt;=$L$8),B10,0)</f>
        <v>0</v>
      </c>
      <c r="C203" s="326">
        <f t="shared" si="7"/>
        <v>0</v>
      </c>
      <c r="D203" s="350"/>
      <c r="E203" s="326">
        <f t="shared" si="6"/>
        <v>0</v>
      </c>
      <c r="F203" s="326">
        <f t="shared" si="6"/>
        <v>0</v>
      </c>
      <c r="G203" s="326">
        <f t="shared" si="6"/>
        <v>0</v>
      </c>
      <c r="H203" s="2277">
        <f t="shared" si="6"/>
        <v>0</v>
      </c>
    </row>
    <row r="204" spans="2:8">
      <c r="B204" s="326">
        <f t="shared" ref="B204:C204" si="8">IF(AND(ABS($H11)&gt;=$K$8,ABS($G11)&gt;=$L$8),B11,0)</f>
        <v>0</v>
      </c>
      <c r="C204" s="326">
        <f t="shared" si="8"/>
        <v>0</v>
      </c>
      <c r="D204" s="350"/>
      <c r="E204" s="326">
        <f t="shared" si="6"/>
        <v>0</v>
      </c>
      <c r="F204" s="326">
        <f t="shared" si="6"/>
        <v>0</v>
      </c>
      <c r="G204" s="326">
        <f t="shared" si="6"/>
        <v>0</v>
      </c>
      <c r="H204" s="2277">
        <f t="shared" si="6"/>
        <v>0</v>
      </c>
    </row>
    <row r="205" spans="2:8">
      <c r="B205" s="326">
        <f t="shared" ref="B205:C205" si="9">IF(AND(ABS($H12)&gt;=$K$8,ABS($G12)&gt;=$L$8),B12,0)</f>
        <v>0</v>
      </c>
      <c r="C205" s="326">
        <f t="shared" si="9"/>
        <v>0</v>
      </c>
      <c r="D205" s="350"/>
      <c r="E205" s="326">
        <f t="shared" si="6"/>
        <v>0</v>
      </c>
      <c r="F205" s="326">
        <f t="shared" si="6"/>
        <v>0</v>
      </c>
      <c r="G205" s="326">
        <f t="shared" si="6"/>
        <v>0</v>
      </c>
      <c r="H205" s="2277">
        <f t="shared" si="6"/>
        <v>0</v>
      </c>
    </row>
    <row r="206" spans="2:8">
      <c r="B206" s="326">
        <f t="shared" ref="B206:C206" si="10">IF(AND(ABS($H13)&gt;=$K$8,ABS($G13)&gt;=$L$8),B13,0)</f>
        <v>0</v>
      </c>
      <c r="C206" s="326">
        <f t="shared" si="10"/>
        <v>0</v>
      </c>
      <c r="D206" s="350"/>
      <c r="E206" s="326">
        <f t="shared" si="6"/>
        <v>0</v>
      </c>
      <c r="F206" s="326">
        <f t="shared" si="6"/>
        <v>0</v>
      </c>
      <c r="G206" s="326">
        <f t="shared" si="6"/>
        <v>0</v>
      </c>
      <c r="H206" s="2277">
        <f t="shared" si="6"/>
        <v>0</v>
      </c>
    </row>
    <row r="207" spans="2:8">
      <c r="B207" s="326">
        <f t="shared" ref="B207:C207" si="11">IF(AND(ABS($H14)&gt;=$K$8,ABS($G14)&gt;=$L$8),B14,0)</f>
        <v>0</v>
      </c>
      <c r="C207" s="326">
        <f t="shared" si="11"/>
        <v>0</v>
      </c>
      <c r="D207" s="350"/>
      <c r="E207" s="326">
        <f t="shared" si="6"/>
        <v>0</v>
      </c>
      <c r="F207" s="326">
        <f t="shared" si="6"/>
        <v>0</v>
      </c>
      <c r="G207" s="326">
        <f t="shared" si="6"/>
        <v>0</v>
      </c>
      <c r="H207" s="2277">
        <f t="shared" si="6"/>
        <v>0</v>
      </c>
    </row>
    <row r="208" spans="2:8">
      <c r="B208" s="326">
        <f t="shared" ref="B208:C208" si="12">IF(AND(ABS($H15)&gt;=$K$8,ABS($G15)&gt;=$L$8),B15,0)</f>
        <v>0</v>
      </c>
      <c r="C208" s="326">
        <f t="shared" si="12"/>
        <v>0</v>
      </c>
      <c r="D208" s="350"/>
      <c r="E208" s="326">
        <f t="shared" si="6"/>
        <v>0</v>
      </c>
      <c r="F208" s="326">
        <f t="shared" si="6"/>
        <v>0</v>
      </c>
      <c r="G208" s="326">
        <f t="shared" si="6"/>
        <v>0</v>
      </c>
      <c r="H208" s="2277">
        <f t="shared" si="6"/>
        <v>0</v>
      </c>
    </row>
    <row r="209" spans="2:8">
      <c r="B209" s="326" t="str">
        <f t="shared" ref="B209:C209" si="13">IF(AND(ABS($H16)&gt;=$K$8,ABS($G16)&gt;=$L$8),B16,0)</f>
        <v>21 תברואה</v>
      </c>
      <c r="C209" s="326">
        <f t="shared" si="13"/>
        <v>0</v>
      </c>
      <c r="D209" s="350"/>
      <c r="E209" s="326">
        <f t="shared" si="6"/>
        <v>3497</v>
      </c>
      <c r="F209" s="326">
        <f t="shared" si="6"/>
        <v>4023</v>
      </c>
      <c r="G209" s="326">
        <f t="shared" si="6"/>
        <v>-526</v>
      </c>
      <c r="H209" s="2277">
        <f t="shared" si="6"/>
        <v>-0.13074819786229183</v>
      </c>
    </row>
    <row r="210" spans="2:8">
      <c r="B210" s="326">
        <f t="shared" ref="B210:C210" si="14">IF(AND(ABS($H17)&gt;=$K$8,ABS($G17)&gt;=$L$8),B17,0)</f>
        <v>0</v>
      </c>
      <c r="C210" s="326">
        <f t="shared" si="14"/>
        <v>0</v>
      </c>
      <c r="D210" s="350"/>
      <c r="E210" s="326">
        <f t="shared" si="6"/>
        <v>0</v>
      </c>
      <c r="F210" s="326">
        <f t="shared" si="6"/>
        <v>0</v>
      </c>
      <c r="G210" s="326">
        <f t="shared" si="6"/>
        <v>0</v>
      </c>
      <c r="H210" s="2277">
        <f t="shared" si="6"/>
        <v>0</v>
      </c>
    </row>
    <row r="211" spans="2:8">
      <c r="B211" s="326" t="str">
        <f t="shared" ref="B211:C211" si="15">IF(AND(ABS($H18)&gt;=$K$8,ABS($G18)&gt;=$L$8),B18,0)</f>
        <v>23 תכנון ובנין העיר</v>
      </c>
      <c r="C211" s="326">
        <f t="shared" si="15"/>
        <v>0</v>
      </c>
      <c r="D211" s="350"/>
      <c r="E211" s="326">
        <f t="shared" si="6"/>
        <v>17861</v>
      </c>
      <c r="F211" s="326">
        <f t="shared" si="6"/>
        <v>13304</v>
      </c>
      <c r="G211" s="326">
        <f t="shared" si="6"/>
        <v>4557</v>
      </c>
      <c r="H211" s="2277">
        <f t="shared" si="6"/>
        <v>0.34252856283824412</v>
      </c>
    </row>
    <row r="212" spans="2:8">
      <c r="B212" s="326" t="str">
        <f t="shared" ref="B212:C212" si="16">IF(AND(ABS($H19)&gt;=$K$8,ABS($G19)&gt;=$L$8),B19,0)</f>
        <v>24 נכסים ציבוריים</v>
      </c>
      <c r="C212" s="326">
        <f t="shared" si="16"/>
        <v>0</v>
      </c>
      <c r="D212" s="350"/>
      <c r="E212" s="326">
        <f t="shared" si="6"/>
        <v>1295</v>
      </c>
      <c r="F212" s="326">
        <f t="shared" si="6"/>
        <v>2085</v>
      </c>
      <c r="G212" s="326">
        <f t="shared" si="6"/>
        <v>-790</v>
      </c>
      <c r="H212" s="2277">
        <f t="shared" si="6"/>
        <v>-0.37889688249400477</v>
      </c>
    </row>
    <row r="213" spans="2:8">
      <c r="B213" s="326">
        <f t="shared" ref="B213:C213" si="17">IF(AND(ABS($H20)&gt;=$K$8,ABS($G20)&gt;=$L$8),B20,0)</f>
        <v>0</v>
      </c>
      <c r="C213" s="326">
        <f t="shared" si="17"/>
        <v>0</v>
      </c>
      <c r="D213" s="350"/>
      <c r="E213" s="326">
        <f t="shared" si="6"/>
        <v>0</v>
      </c>
      <c r="F213" s="326">
        <f t="shared" si="6"/>
        <v>0</v>
      </c>
      <c r="G213" s="326">
        <f t="shared" si="6"/>
        <v>0</v>
      </c>
      <c r="H213" s="2277">
        <f t="shared" si="6"/>
        <v>0</v>
      </c>
    </row>
    <row r="214" spans="2:8">
      <c r="B214" s="326">
        <f t="shared" ref="B214:C214" si="18">IF(AND(ABS($H21)&gt;=$K$8,ABS($G21)&gt;=$L$8),B21,0)</f>
        <v>0</v>
      </c>
      <c r="C214" s="326">
        <f t="shared" si="18"/>
        <v>0</v>
      </c>
      <c r="D214" s="350"/>
      <c r="E214" s="326">
        <f t="shared" si="6"/>
        <v>0</v>
      </c>
      <c r="F214" s="326">
        <f t="shared" si="6"/>
        <v>0</v>
      </c>
      <c r="G214" s="326">
        <f t="shared" si="6"/>
        <v>0</v>
      </c>
      <c r="H214" s="2277">
        <f t="shared" si="6"/>
        <v>0</v>
      </c>
    </row>
    <row r="215" spans="2:8">
      <c r="B215" s="326">
        <f t="shared" ref="B215:C215" si="19">IF(AND(ABS($H22)&gt;=$K$8,ABS($G22)&gt;=$L$8),B22,0)</f>
        <v>0</v>
      </c>
      <c r="C215" s="326">
        <f t="shared" si="19"/>
        <v>0</v>
      </c>
      <c r="D215" s="350"/>
      <c r="E215" s="326">
        <f t="shared" si="6"/>
        <v>0</v>
      </c>
      <c r="F215" s="326">
        <f t="shared" si="6"/>
        <v>0</v>
      </c>
      <c r="G215" s="326">
        <f t="shared" si="6"/>
        <v>0</v>
      </c>
      <c r="H215" s="2277">
        <f t="shared" si="6"/>
        <v>0</v>
      </c>
    </row>
    <row r="216" spans="2:8">
      <c r="B216" s="326" t="str">
        <f t="shared" ref="B216:C216" si="20">IF(AND(ABS($H23)&gt;=$K$8,ABS($G23)&gt;=$L$8),B23,0)</f>
        <v>28 פיקוח עירוני</v>
      </c>
      <c r="C216" s="326">
        <f t="shared" si="20"/>
        <v>0</v>
      </c>
      <c r="D216" s="350"/>
      <c r="E216" s="326">
        <f t="shared" si="6"/>
        <v>1103</v>
      </c>
      <c r="F216" s="326">
        <f t="shared" si="6"/>
        <v>1778</v>
      </c>
      <c r="G216" s="326">
        <f t="shared" si="6"/>
        <v>-675</v>
      </c>
      <c r="H216" s="2277">
        <f t="shared" si="6"/>
        <v>-0.3796400449943757</v>
      </c>
    </row>
    <row r="217" spans="2:8">
      <c r="B217" s="326">
        <f t="shared" ref="B217:C217" si="21">IF(AND(ABS($H24)&gt;=$K$8,ABS($G24)&gt;=$L$8),B24,0)</f>
        <v>0</v>
      </c>
      <c r="C217" s="326">
        <f t="shared" si="21"/>
        <v>0</v>
      </c>
      <c r="D217" s="350"/>
      <c r="E217" s="326">
        <f t="shared" si="6"/>
        <v>0</v>
      </c>
      <c r="F217" s="326">
        <f t="shared" si="6"/>
        <v>0</v>
      </c>
      <c r="G217" s="326">
        <f t="shared" si="6"/>
        <v>0</v>
      </c>
      <c r="H217" s="2277">
        <f t="shared" si="6"/>
        <v>0</v>
      </c>
    </row>
    <row r="218" spans="2:8">
      <c r="B218" s="326">
        <f t="shared" ref="B218:C218" si="22">IF(AND(ABS($H25)&gt;=$K$8,ABS($G25)&gt;=$L$8),B25,0)</f>
        <v>0</v>
      </c>
      <c r="C218" s="326">
        <f t="shared" si="22"/>
        <v>0</v>
      </c>
      <c r="D218" s="350"/>
      <c r="E218" s="326">
        <f t="shared" si="6"/>
        <v>0</v>
      </c>
      <c r="F218" s="326">
        <f t="shared" si="6"/>
        <v>0</v>
      </c>
      <c r="G218" s="326">
        <f t="shared" si="6"/>
        <v>0</v>
      </c>
      <c r="H218" s="2277">
        <f t="shared" si="6"/>
        <v>0</v>
      </c>
    </row>
    <row r="219" spans="2:8">
      <c r="B219" s="326">
        <f t="shared" ref="B219:C219" si="23">IF(AND(ABS($H26)&gt;=$K$8,ABS($G26)&gt;=$L$8),B26,0)</f>
        <v>0</v>
      </c>
      <c r="C219" s="326">
        <f t="shared" si="23"/>
        <v>0</v>
      </c>
      <c r="D219" s="350"/>
      <c r="E219" s="326">
        <f t="shared" si="6"/>
        <v>0</v>
      </c>
      <c r="F219" s="326">
        <f t="shared" si="6"/>
        <v>0</v>
      </c>
      <c r="G219" s="326">
        <f t="shared" si="6"/>
        <v>0</v>
      </c>
      <c r="H219" s="2277">
        <f t="shared" si="6"/>
        <v>0</v>
      </c>
    </row>
    <row r="220" spans="2:8">
      <c r="B220" s="326">
        <f t="shared" ref="B220:C220" si="24">IF(AND(ABS($H27)&gt;=$K$8,ABS($G27)&gt;=$L$8),B27,0)</f>
        <v>0</v>
      </c>
      <c r="C220" s="326">
        <f t="shared" si="24"/>
        <v>0</v>
      </c>
      <c r="D220" s="350"/>
      <c r="E220" s="326">
        <f t="shared" si="6"/>
        <v>0</v>
      </c>
      <c r="F220" s="326">
        <f t="shared" si="6"/>
        <v>0</v>
      </c>
      <c r="G220" s="326">
        <f t="shared" si="6"/>
        <v>0</v>
      </c>
      <c r="H220" s="2277">
        <f t="shared" si="6"/>
        <v>0</v>
      </c>
    </row>
    <row r="221" spans="2:8">
      <c r="B221" s="326">
        <f t="shared" ref="B221:C221" si="25">IF(AND(ABS($H28)&gt;=$K$8,ABS($G28)&gt;=$L$8),B28,0)</f>
        <v>0</v>
      </c>
      <c r="C221" s="326">
        <f t="shared" si="25"/>
        <v>0</v>
      </c>
      <c r="D221" s="350"/>
      <c r="E221" s="326">
        <f t="shared" si="6"/>
        <v>0</v>
      </c>
      <c r="F221" s="326">
        <f t="shared" si="6"/>
        <v>0</v>
      </c>
      <c r="G221" s="326">
        <f t="shared" si="6"/>
        <v>0</v>
      </c>
      <c r="H221" s="2277">
        <f t="shared" si="6"/>
        <v>0</v>
      </c>
    </row>
    <row r="222" spans="2:8">
      <c r="B222" s="326">
        <f t="shared" ref="B222:C222" si="26">IF(AND(ABS($H29)&gt;=$K$8,ABS($G29)&gt;=$L$8),B29,0)</f>
        <v>0</v>
      </c>
      <c r="C222" s="326">
        <f t="shared" si="26"/>
        <v>0</v>
      </c>
      <c r="D222" s="350"/>
      <c r="E222" s="326">
        <f t="shared" ref="E222:H241" si="27">IF(AND(ABS($H29)&gt;=$K$8,ABS($G29)&gt;=$L$8),E29,0)</f>
        <v>0</v>
      </c>
      <c r="F222" s="326">
        <f t="shared" si="27"/>
        <v>0</v>
      </c>
      <c r="G222" s="326">
        <f t="shared" si="27"/>
        <v>0</v>
      </c>
      <c r="H222" s="2277">
        <f t="shared" si="27"/>
        <v>0</v>
      </c>
    </row>
    <row r="223" spans="2:8">
      <c r="B223" s="326">
        <f t="shared" ref="B223:C223" si="28">IF(AND(ABS($H30)&gt;=$K$8,ABS($G30)&gt;=$L$8),B30,0)</f>
        <v>0</v>
      </c>
      <c r="C223" s="326">
        <f t="shared" si="28"/>
        <v>0</v>
      </c>
      <c r="D223" s="350"/>
      <c r="E223" s="326">
        <f t="shared" si="27"/>
        <v>0</v>
      </c>
      <c r="F223" s="326">
        <f t="shared" si="27"/>
        <v>0</v>
      </c>
      <c r="G223" s="326">
        <f t="shared" si="27"/>
        <v>0</v>
      </c>
      <c r="H223" s="2277">
        <f t="shared" si="27"/>
        <v>0</v>
      </c>
    </row>
    <row r="224" spans="2:8">
      <c r="B224" s="326">
        <f t="shared" ref="B224:C224" si="29">IF(AND(ABS($H31)&gt;=$K$8,ABS($G31)&gt;=$L$8),B31,0)</f>
        <v>0</v>
      </c>
      <c r="C224" s="326">
        <f t="shared" si="29"/>
        <v>0</v>
      </c>
      <c r="D224" s="350"/>
      <c r="E224" s="326">
        <f t="shared" si="27"/>
        <v>0</v>
      </c>
      <c r="F224" s="326">
        <f t="shared" si="27"/>
        <v>0</v>
      </c>
      <c r="G224" s="326">
        <f t="shared" si="27"/>
        <v>0</v>
      </c>
      <c r="H224" s="2277">
        <f t="shared" si="27"/>
        <v>0</v>
      </c>
    </row>
    <row r="225" spans="2:8">
      <c r="B225" s="326">
        <f t="shared" ref="B225:C225" si="30">IF(AND(ABS($H32)&gt;=$K$8,ABS($G32)&gt;=$L$8),B32,0)</f>
        <v>0</v>
      </c>
      <c r="C225" s="326">
        <f t="shared" si="30"/>
        <v>0</v>
      </c>
      <c r="D225" s="350"/>
      <c r="E225" s="326">
        <f t="shared" si="27"/>
        <v>0</v>
      </c>
      <c r="F225" s="326">
        <f t="shared" si="27"/>
        <v>0</v>
      </c>
      <c r="G225" s="326">
        <f t="shared" si="27"/>
        <v>0</v>
      </c>
      <c r="H225" s="2277">
        <f t="shared" si="27"/>
        <v>0</v>
      </c>
    </row>
    <row r="226" spans="2:8">
      <c r="B226" s="326">
        <f t="shared" ref="B226:C226" si="31">IF(AND(ABS($H33)&gt;=$K$8,ABS($G33)&gt;=$L$8),B33,0)</f>
        <v>0</v>
      </c>
      <c r="C226" s="326">
        <f t="shared" si="31"/>
        <v>0</v>
      </c>
      <c r="D226" s="350"/>
      <c r="E226" s="326">
        <f t="shared" si="27"/>
        <v>0</v>
      </c>
      <c r="F226" s="326">
        <f t="shared" si="27"/>
        <v>0</v>
      </c>
      <c r="G226" s="326">
        <f t="shared" si="27"/>
        <v>0</v>
      </c>
      <c r="H226" s="2277">
        <f t="shared" si="27"/>
        <v>0</v>
      </c>
    </row>
    <row r="227" spans="2:8">
      <c r="B227" s="326" t="str">
        <f t="shared" ref="B227:C227" si="32">IF(AND(ABS($H34)&gt;=$K$8,ABS($G34)&gt;=$L$8),B34,0)</f>
        <v>43 נכסים</v>
      </c>
      <c r="C227" s="326">
        <f t="shared" si="32"/>
        <v>0</v>
      </c>
      <c r="D227" s="350"/>
      <c r="E227" s="326">
        <f t="shared" si="27"/>
        <v>8665</v>
      </c>
      <c r="F227" s="326">
        <f t="shared" si="27"/>
        <v>7495</v>
      </c>
      <c r="G227" s="326">
        <f t="shared" si="27"/>
        <v>1170</v>
      </c>
      <c r="H227" s="2277">
        <f t="shared" si="27"/>
        <v>0.1561040693795864</v>
      </c>
    </row>
    <row r="228" spans="2:8">
      <c r="B228" s="326" t="str">
        <f t="shared" ref="B228:C228" si="33">IF(AND(ABS($H35)&gt;=$K$8,ABS($G35)&gt;=$L$8),B35,0)</f>
        <v>44 תחבורה</v>
      </c>
      <c r="C228" s="326">
        <f t="shared" si="33"/>
        <v>0</v>
      </c>
      <c r="D228" s="350"/>
      <c r="E228" s="326">
        <f t="shared" si="27"/>
        <v>30511</v>
      </c>
      <c r="F228" s="326">
        <f t="shared" si="27"/>
        <v>23349</v>
      </c>
      <c r="G228" s="326">
        <f t="shared" si="27"/>
        <v>7162</v>
      </c>
      <c r="H228" s="2277">
        <f t="shared" si="27"/>
        <v>0.30673690522078034</v>
      </c>
    </row>
    <row r="229" spans="2:8">
      <c r="B229" s="326">
        <f t="shared" ref="B229:C229" si="34">IF(AND(ABS($H36)&gt;=$K$8,ABS($G36)&gt;=$L$8),B36,0)</f>
        <v>0</v>
      </c>
      <c r="C229" s="326">
        <f t="shared" si="34"/>
        <v>0</v>
      </c>
      <c r="D229" s="350"/>
      <c r="E229" s="326">
        <f t="shared" si="27"/>
        <v>0</v>
      </c>
      <c r="F229" s="326">
        <f t="shared" si="27"/>
        <v>0</v>
      </c>
      <c r="G229" s="326">
        <f t="shared" si="27"/>
        <v>0</v>
      </c>
      <c r="H229" s="2277">
        <f t="shared" si="27"/>
        <v>0</v>
      </c>
    </row>
    <row r="230" spans="2:8">
      <c r="B230" s="326">
        <f t="shared" ref="B230:C230" si="35">IF(AND(ABS($H37)&gt;=$K$8,ABS($G37)&gt;=$L$8),B37,0)</f>
        <v>0</v>
      </c>
      <c r="C230" s="326">
        <f t="shared" si="35"/>
        <v>0</v>
      </c>
      <c r="D230" s="350"/>
      <c r="E230" s="326">
        <f t="shared" si="27"/>
        <v>0</v>
      </c>
      <c r="F230" s="326">
        <f t="shared" si="27"/>
        <v>0</v>
      </c>
      <c r="G230" s="326">
        <f t="shared" si="27"/>
        <v>0</v>
      </c>
      <c r="H230" s="2277">
        <f t="shared" si="27"/>
        <v>0</v>
      </c>
    </row>
    <row r="231" spans="2:8">
      <c r="B231" s="326" t="str">
        <f t="shared" ref="B231:C231" si="36">IF(AND(ABS($H38)&gt;=$K$8,ABS($G38)&gt;=$L$8),B38,0)</f>
        <v>47 מפעל הביוב</v>
      </c>
      <c r="C231" s="326">
        <f t="shared" si="36"/>
        <v>0</v>
      </c>
      <c r="D231" s="350"/>
      <c r="E231" s="326">
        <f t="shared" si="27"/>
        <v>10067</v>
      </c>
      <c r="F231" s="326">
        <f t="shared" si="27"/>
        <v>11533</v>
      </c>
      <c r="G231" s="326">
        <f t="shared" si="27"/>
        <v>-1466</v>
      </c>
      <c r="H231" s="2277">
        <f t="shared" si="27"/>
        <v>-0.12711350039018468</v>
      </c>
    </row>
    <row r="232" spans="2:8">
      <c r="B232" s="326">
        <f t="shared" ref="B232:C232" si="37">IF(AND(ABS($H39)&gt;=$K$8,ABS($G39)&gt;=$L$8),B39,0)</f>
        <v>0</v>
      </c>
      <c r="C232" s="326">
        <f t="shared" si="37"/>
        <v>0</v>
      </c>
      <c r="D232" s="350"/>
      <c r="E232" s="326">
        <f t="shared" si="27"/>
        <v>0</v>
      </c>
      <c r="F232" s="326">
        <f t="shared" si="27"/>
        <v>0</v>
      </c>
      <c r="G232" s="326">
        <f t="shared" si="27"/>
        <v>0</v>
      </c>
      <c r="H232" s="2277">
        <f t="shared" si="27"/>
        <v>0</v>
      </c>
    </row>
    <row r="233" spans="2:8">
      <c r="B233" s="326">
        <f t="shared" ref="B233:C233" si="38">IF(AND(ABS($H40)&gt;=$K$8,ABS($G40)&gt;=$L$8),B40,0)</f>
        <v>0</v>
      </c>
      <c r="C233" s="326">
        <f t="shared" si="38"/>
        <v>0</v>
      </c>
      <c r="D233" s="350"/>
      <c r="E233" s="326">
        <f t="shared" si="27"/>
        <v>0</v>
      </c>
      <c r="F233" s="326">
        <f t="shared" si="27"/>
        <v>0</v>
      </c>
      <c r="G233" s="326">
        <f t="shared" si="27"/>
        <v>0</v>
      </c>
      <c r="H233" s="2277">
        <f t="shared" si="27"/>
        <v>0</v>
      </c>
    </row>
    <row r="234" spans="2:8" ht="30.75" customHeight="1">
      <c r="B234" s="3488" t="str">
        <f>B41</f>
        <v>תשלומים:</v>
      </c>
      <c r="C234" s="3635"/>
      <c r="D234" s="350"/>
      <c r="E234" s="326">
        <f t="shared" si="27"/>
        <v>0</v>
      </c>
      <c r="F234" s="326">
        <f t="shared" si="27"/>
        <v>0</v>
      </c>
      <c r="G234" s="326">
        <f t="shared" si="27"/>
        <v>0</v>
      </c>
      <c r="H234" s="2277">
        <f t="shared" si="27"/>
        <v>0</v>
      </c>
    </row>
    <row r="235" spans="2:8">
      <c r="B235" s="326">
        <f t="shared" ref="B235:C235" si="39">IF(AND(ABS($H42)&gt;=$K$8,ABS($G42)&gt;=$L$8),B42,0)</f>
        <v>0</v>
      </c>
      <c r="C235" s="326">
        <f t="shared" si="39"/>
        <v>0</v>
      </c>
      <c r="D235" s="350"/>
      <c r="E235" s="326">
        <f t="shared" si="27"/>
        <v>0</v>
      </c>
      <c r="F235" s="326">
        <f t="shared" si="27"/>
        <v>0</v>
      </c>
      <c r="G235" s="326">
        <f t="shared" si="27"/>
        <v>0</v>
      </c>
      <c r="H235" s="2277">
        <f t="shared" si="27"/>
        <v>0</v>
      </c>
    </row>
    <row r="236" spans="2:8">
      <c r="B236" s="326">
        <f t="shared" ref="B236:C236" si="40">IF(AND(ABS($H43)&gt;=$K$8,ABS($G43)&gt;=$L$8),B43,0)</f>
        <v>0</v>
      </c>
      <c r="C236" s="326">
        <f t="shared" si="40"/>
        <v>0</v>
      </c>
      <c r="D236" s="350"/>
      <c r="E236" s="326">
        <f t="shared" si="27"/>
        <v>0</v>
      </c>
      <c r="F236" s="326">
        <f t="shared" si="27"/>
        <v>0</v>
      </c>
      <c r="G236" s="326">
        <f t="shared" si="27"/>
        <v>0</v>
      </c>
      <c r="H236" s="2277">
        <f t="shared" si="27"/>
        <v>0</v>
      </c>
    </row>
    <row r="237" spans="2:8">
      <c r="B237" s="326">
        <f t="shared" ref="B237:C237" si="41">IF(AND(ABS($H44)&gt;=$K$8,ABS($G44)&gt;=$L$8),B44,0)</f>
        <v>0</v>
      </c>
      <c r="C237" s="326">
        <f t="shared" si="41"/>
        <v>0</v>
      </c>
      <c r="D237" s="350"/>
      <c r="E237" s="326">
        <f t="shared" si="27"/>
        <v>0</v>
      </c>
      <c r="F237" s="326">
        <f t="shared" si="27"/>
        <v>0</v>
      </c>
      <c r="G237" s="326">
        <f t="shared" si="27"/>
        <v>0</v>
      </c>
      <c r="H237" s="2277">
        <f t="shared" si="27"/>
        <v>0</v>
      </c>
    </row>
    <row r="238" spans="2:8">
      <c r="B238" s="326" t="str">
        <f t="shared" ref="B238:C238" si="42">IF(AND(ABS($H45)&gt;=$K$8,ABS($G45)&gt;=$L$8),B45,0)</f>
        <v>64 פרעון מלוות</v>
      </c>
      <c r="C238" s="326">
        <f t="shared" si="42"/>
        <v>0</v>
      </c>
      <c r="D238" s="350"/>
      <c r="E238" s="326">
        <f t="shared" si="27"/>
        <v>24801</v>
      </c>
      <c r="F238" s="326">
        <f t="shared" si="27"/>
        <v>30031</v>
      </c>
      <c r="G238" s="326">
        <f t="shared" si="27"/>
        <v>-5230</v>
      </c>
      <c r="H238" s="2277">
        <f t="shared" si="27"/>
        <v>-0.17415337484599247</v>
      </c>
    </row>
    <row r="239" spans="2:8">
      <c r="B239" s="326">
        <f t="shared" ref="B239:C239" si="43">IF(AND(ABS($H46)&gt;=$K$8,ABS($G46)&gt;=$L$8),B46,0)</f>
        <v>0</v>
      </c>
      <c r="C239" s="326">
        <f t="shared" si="43"/>
        <v>0</v>
      </c>
      <c r="D239" s="350"/>
      <c r="E239" s="326">
        <f t="shared" si="27"/>
        <v>0</v>
      </c>
      <c r="F239" s="326">
        <f t="shared" si="27"/>
        <v>0</v>
      </c>
      <c r="G239" s="326">
        <f t="shared" si="27"/>
        <v>0</v>
      </c>
      <c r="H239" s="2277">
        <f t="shared" si="27"/>
        <v>0</v>
      </c>
    </row>
    <row r="240" spans="2:8">
      <c r="B240" s="326">
        <f t="shared" ref="B240:C240" si="44">IF(AND(ABS($H47)&gt;=$K$8,ABS($G47)&gt;=$L$8),B47,0)</f>
        <v>0</v>
      </c>
      <c r="C240" s="326">
        <f t="shared" si="44"/>
        <v>0</v>
      </c>
      <c r="D240" s="350"/>
      <c r="E240" s="326">
        <f t="shared" si="27"/>
        <v>0</v>
      </c>
      <c r="F240" s="326">
        <f t="shared" si="27"/>
        <v>0</v>
      </c>
      <c r="G240" s="326">
        <f t="shared" si="27"/>
        <v>0</v>
      </c>
      <c r="H240" s="2277">
        <f t="shared" si="27"/>
        <v>0</v>
      </c>
    </row>
    <row r="241" spans="2:8">
      <c r="B241" s="326">
        <f t="shared" ref="B241:C241" si="45">IF(AND(ABS($H48)&gt;=$K$8,ABS($G48)&gt;=$L$8),B48,0)</f>
        <v>0</v>
      </c>
      <c r="C241" s="326">
        <f t="shared" si="45"/>
        <v>0</v>
      </c>
      <c r="D241" s="350"/>
      <c r="E241" s="326">
        <f t="shared" si="27"/>
        <v>0</v>
      </c>
      <c r="F241" s="326">
        <f t="shared" si="27"/>
        <v>0</v>
      </c>
      <c r="G241" s="326">
        <f t="shared" si="27"/>
        <v>0</v>
      </c>
      <c r="H241" s="2277">
        <f t="shared" si="27"/>
        <v>0</v>
      </c>
    </row>
    <row r="242" spans="2:8">
      <c r="B242" s="326">
        <f t="shared" ref="B242:C242" si="46">IF(AND(ABS($H49)&gt;=$K$8,ABS($G49)&gt;=$L$8),B49,0)</f>
        <v>0</v>
      </c>
      <c r="C242" s="326">
        <f t="shared" si="46"/>
        <v>0</v>
      </c>
      <c r="D242" s="350"/>
      <c r="E242" s="326">
        <f t="shared" ref="E242:H261" si="47">IF(AND(ABS($H49)&gt;=$K$8,ABS($G49)&gt;=$L$8),E49,0)</f>
        <v>0</v>
      </c>
      <c r="F242" s="326">
        <f t="shared" si="47"/>
        <v>0</v>
      </c>
      <c r="G242" s="326">
        <f t="shared" si="47"/>
        <v>0</v>
      </c>
      <c r="H242" s="2277">
        <f t="shared" si="47"/>
        <v>0</v>
      </c>
    </row>
    <row r="243" spans="2:8">
      <c r="B243" s="326">
        <f t="shared" ref="B243:C243" si="48">IF(AND(ABS($H50)&gt;=$K$8,ABS($G50)&gt;=$L$8),B50,0)</f>
        <v>0</v>
      </c>
      <c r="C243" s="326">
        <f t="shared" si="48"/>
        <v>0</v>
      </c>
      <c r="D243" s="350"/>
      <c r="E243" s="326">
        <f t="shared" si="47"/>
        <v>0</v>
      </c>
      <c r="F243" s="326">
        <f t="shared" si="47"/>
        <v>0</v>
      </c>
      <c r="G243" s="326">
        <f t="shared" si="47"/>
        <v>0</v>
      </c>
      <c r="H243" s="2277">
        <f t="shared" si="47"/>
        <v>0</v>
      </c>
    </row>
    <row r="244" spans="2:8">
      <c r="B244" s="326">
        <f t="shared" ref="B244:C244" si="49">IF(AND(ABS($H51)&gt;=$K$8,ABS($G51)&gt;=$L$8),B51,0)</f>
        <v>0</v>
      </c>
      <c r="C244" s="326">
        <f t="shared" si="49"/>
        <v>0</v>
      </c>
      <c r="D244" s="350"/>
      <c r="E244" s="326">
        <f t="shared" si="47"/>
        <v>0</v>
      </c>
      <c r="F244" s="326">
        <f t="shared" si="47"/>
        <v>0</v>
      </c>
      <c r="G244" s="326">
        <f t="shared" si="47"/>
        <v>0</v>
      </c>
      <c r="H244" s="2277">
        <f t="shared" si="47"/>
        <v>0</v>
      </c>
    </row>
    <row r="245" spans="2:8">
      <c r="B245" s="326">
        <f t="shared" ref="B245:C245" si="50">IF(AND(ABS($H52)&gt;=$K$8,ABS($G52)&gt;=$L$8),B52,0)</f>
        <v>0</v>
      </c>
      <c r="C245" s="326">
        <f t="shared" si="50"/>
        <v>0</v>
      </c>
      <c r="D245" s="350"/>
      <c r="E245" s="326">
        <f t="shared" si="47"/>
        <v>0</v>
      </c>
      <c r="F245" s="326">
        <f t="shared" si="47"/>
        <v>0</v>
      </c>
      <c r="G245" s="326">
        <f t="shared" si="47"/>
        <v>0</v>
      </c>
      <c r="H245" s="2277">
        <f t="shared" si="47"/>
        <v>0</v>
      </c>
    </row>
    <row r="246" spans="2:8">
      <c r="B246" s="326">
        <f t="shared" ref="B246:C246" si="51">IF(AND(ABS($H53)&gt;=$K$8,ABS($G53)&gt;=$L$8),B53,0)</f>
        <v>0</v>
      </c>
      <c r="C246" s="326">
        <f t="shared" si="51"/>
        <v>0</v>
      </c>
      <c r="D246" s="350"/>
      <c r="E246" s="326">
        <f t="shared" si="47"/>
        <v>0</v>
      </c>
      <c r="F246" s="326">
        <f t="shared" si="47"/>
        <v>0</v>
      </c>
      <c r="G246" s="326">
        <f t="shared" si="47"/>
        <v>0</v>
      </c>
      <c r="H246" s="2277">
        <f t="shared" si="47"/>
        <v>0</v>
      </c>
    </row>
    <row r="247" spans="2:8">
      <c r="B247" s="326">
        <f t="shared" ref="B247:C247" si="52">IF(AND(ABS($H54)&gt;=$K$8,ABS($G54)&gt;=$L$8),B54,0)</f>
        <v>0</v>
      </c>
      <c r="C247" s="326">
        <f t="shared" si="52"/>
        <v>0</v>
      </c>
      <c r="D247" s="350"/>
      <c r="E247" s="326">
        <f t="shared" si="47"/>
        <v>0</v>
      </c>
      <c r="F247" s="326">
        <f t="shared" si="47"/>
        <v>0</v>
      </c>
      <c r="G247" s="326">
        <f t="shared" si="47"/>
        <v>0</v>
      </c>
      <c r="H247" s="2277">
        <f t="shared" si="47"/>
        <v>0</v>
      </c>
    </row>
    <row r="248" spans="2:8">
      <c r="B248" s="326">
        <f t="shared" ref="B248:C248" si="53">IF(AND(ABS($H55)&gt;=$K$8,ABS($G55)&gt;=$L$8),B55,0)</f>
        <v>0</v>
      </c>
      <c r="C248" s="326">
        <f t="shared" si="53"/>
        <v>0</v>
      </c>
      <c r="D248" s="350"/>
      <c r="E248" s="326">
        <f t="shared" si="47"/>
        <v>0</v>
      </c>
      <c r="F248" s="326">
        <f t="shared" si="47"/>
        <v>0</v>
      </c>
      <c r="G248" s="326">
        <f t="shared" si="47"/>
        <v>0</v>
      </c>
      <c r="H248" s="2277">
        <f t="shared" si="47"/>
        <v>0</v>
      </c>
    </row>
    <row r="249" spans="2:8">
      <c r="B249" s="326">
        <f t="shared" ref="B249:C249" si="54">IF(AND(ABS($H56)&gt;=$K$8,ABS($G56)&gt;=$L$8),B56,0)</f>
        <v>0</v>
      </c>
      <c r="C249" s="326">
        <f t="shared" si="54"/>
        <v>0</v>
      </c>
      <c r="D249" s="350"/>
      <c r="E249" s="326">
        <f t="shared" si="47"/>
        <v>0</v>
      </c>
      <c r="F249" s="326">
        <f t="shared" si="47"/>
        <v>0</v>
      </c>
      <c r="G249" s="326">
        <f t="shared" si="47"/>
        <v>0</v>
      </c>
      <c r="H249" s="2277">
        <f t="shared" si="47"/>
        <v>0</v>
      </c>
    </row>
    <row r="250" spans="2:8">
      <c r="B250" s="326">
        <f t="shared" ref="B250:C250" si="55">IF(AND(ABS($H57)&gt;=$K$8,ABS($G57)&gt;=$L$8),B57,0)</f>
        <v>0</v>
      </c>
      <c r="C250" s="326">
        <f t="shared" si="55"/>
        <v>0</v>
      </c>
      <c r="D250" s="350"/>
      <c r="E250" s="326">
        <f t="shared" si="47"/>
        <v>0</v>
      </c>
      <c r="F250" s="326">
        <f t="shared" si="47"/>
        <v>0</v>
      </c>
      <c r="G250" s="326">
        <f t="shared" si="47"/>
        <v>0</v>
      </c>
      <c r="H250" s="2277">
        <f t="shared" si="47"/>
        <v>0</v>
      </c>
    </row>
    <row r="251" spans="2:8">
      <c r="B251" s="326">
        <f t="shared" ref="B251:C251" si="56">IF(AND(ABS($H58)&gt;=$K$8,ABS($G58)&gt;=$L$8),B58,0)</f>
        <v>0</v>
      </c>
      <c r="C251" s="326">
        <f t="shared" si="56"/>
        <v>0</v>
      </c>
      <c r="D251" s="350"/>
      <c r="E251" s="326">
        <f t="shared" si="47"/>
        <v>0</v>
      </c>
      <c r="F251" s="326">
        <f t="shared" si="47"/>
        <v>0</v>
      </c>
      <c r="G251" s="326">
        <f t="shared" si="47"/>
        <v>0</v>
      </c>
      <c r="H251" s="2277">
        <f t="shared" si="47"/>
        <v>0</v>
      </c>
    </row>
    <row r="252" spans="2:8">
      <c r="B252" s="326">
        <f t="shared" ref="B252:C252" si="57">IF(AND(ABS($H59)&gt;=$K$8,ABS($G59)&gt;=$L$8),B59,0)</f>
        <v>0</v>
      </c>
      <c r="C252" s="326">
        <f t="shared" si="57"/>
        <v>0</v>
      </c>
      <c r="D252" s="350"/>
      <c r="E252" s="326">
        <f t="shared" si="47"/>
        <v>0</v>
      </c>
      <c r="F252" s="326">
        <f t="shared" si="47"/>
        <v>0</v>
      </c>
      <c r="G252" s="326">
        <f t="shared" si="47"/>
        <v>0</v>
      </c>
      <c r="H252" s="2277">
        <f t="shared" si="47"/>
        <v>0</v>
      </c>
    </row>
    <row r="253" spans="2:8">
      <c r="B253" s="326">
        <f t="shared" ref="B253:C253" si="58">IF(AND(ABS($H60)&gt;=$K$8,ABS($G60)&gt;=$L$8),B60,0)</f>
        <v>0</v>
      </c>
      <c r="C253" s="326">
        <f t="shared" si="58"/>
        <v>0</v>
      </c>
      <c r="D253" s="350"/>
      <c r="E253" s="326">
        <f t="shared" si="47"/>
        <v>0</v>
      </c>
      <c r="F253" s="326">
        <f t="shared" si="47"/>
        <v>0</v>
      </c>
      <c r="G253" s="326">
        <f t="shared" si="47"/>
        <v>0</v>
      </c>
      <c r="H253" s="2277">
        <f t="shared" si="47"/>
        <v>0</v>
      </c>
    </row>
    <row r="254" spans="2:8">
      <c r="B254" s="326">
        <f t="shared" ref="B254:C254" si="59">IF(AND(ABS($H61)&gt;=$K$8,ABS($G61)&gt;=$L$8),B61,0)</f>
        <v>0</v>
      </c>
      <c r="C254" s="326">
        <f t="shared" si="59"/>
        <v>0</v>
      </c>
      <c r="D254" s="350"/>
      <c r="E254" s="326">
        <f t="shared" si="47"/>
        <v>0</v>
      </c>
      <c r="F254" s="326">
        <f t="shared" si="47"/>
        <v>0</v>
      </c>
      <c r="G254" s="326">
        <f t="shared" si="47"/>
        <v>0</v>
      </c>
      <c r="H254" s="2277">
        <f t="shared" si="47"/>
        <v>0</v>
      </c>
    </row>
    <row r="255" spans="2:8">
      <c r="B255" s="326">
        <f t="shared" ref="B255:C255" si="60">IF(AND(ABS($H62)&gt;=$K$8,ABS($G62)&gt;=$L$8),B62,0)</f>
        <v>0</v>
      </c>
      <c r="C255" s="326">
        <f t="shared" si="60"/>
        <v>0</v>
      </c>
      <c r="D255" s="350"/>
      <c r="E255" s="326">
        <f t="shared" si="47"/>
        <v>0</v>
      </c>
      <c r="F255" s="326">
        <f t="shared" si="47"/>
        <v>0</v>
      </c>
      <c r="G255" s="326">
        <f t="shared" si="47"/>
        <v>0</v>
      </c>
      <c r="H255" s="2277">
        <f t="shared" si="47"/>
        <v>0</v>
      </c>
    </row>
    <row r="256" spans="2:8">
      <c r="B256" s="326">
        <f t="shared" ref="B256:C256" si="61">IF(AND(ABS($H63)&gt;=$K$8,ABS($G63)&gt;=$L$8),B63,0)</f>
        <v>0</v>
      </c>
      <c r="C256" s="326">
        <f t="shared" si="61"/>
        <v>0</v>
      </c>
      <c r="D256" s="350"/>
      <c r="E256" s="326">
        <f t="shared" si="47"/>
        <v>0</v>
      </c>
      <c r="F256" s="326">
        <f t="shared" si="47"/>
        <v>0</v>
      </c>
      <c r="G256" s="326">
        <f t="shared" si="47"/>
        <v>0</v>
      </c>
      <c r="H256" s="2277">
        <f t="shared" si="47"/>
        <v>0</v>
      </c>
    </row>
    <row r="257" spans="2:8">
      <c r="B257" s="326">
        <f t="shared" ref="B257:C257" si="62">IF(AND(ABS($H64)&gt;=$K$8,ABS($G64)&gt;=$L$8),B64,0)</f>
        <v>0</v>
      </c>
      <c r="C257" s="326">
        <f t="shared" si="62"/>
        <v>0</v>
      </c>
      <c r="D257" s="350"/>
      <c r="E257" s="326">
        <f t="shared" si="47"/>
        <v>0</v>
      </c>
      <c r="F257" s="326">
        <f t="shared" si="47"/>
        <v>0</v>
      </c>
      <c r="G257" s="326">
        <f t="shared" si="47"/>
        <v>0</v>
      </c>
      <c r="H257" s="2277">
        <f t="shared" si="47"/>
        <v>0</v>
      </c>
    </row>
    <row r="258" spans="2:8">
      <c r="B258" s="326">
        <f t="shared" ref="B258:C258" si="63">IF(AND(ABS($H65)&gt;=$K$8,ABS($G65)&gt;=$L$8),B65,0)</f>
        <v>0</v>
      </c>
      <c r="C258" s="326">
        <f t="shared" si="63"/>
        <v>0</v>
      </c>
      <c r="D258" s="350"/>
      <c r="E258" s="326">
        <f t="shared" si="47"/>
        <v>0</v>
      </c>
      <c r="F258" s="326">
        <f t="shared" si="47"/>
        <v>0</v>
      </c>
      <c r="G258" s="326">
        <f t="shared" si="47"/>
        <v>0</v>
      </c>
      <c r="H258" s="2277">
        <f t="shared" si="47"/>
        <v>0</v>
      </c>
    </row>
    <row r="259" spans="2:8">
      <c r="B259" s="326">
        <f t="shared" ref="B259:C259" si="64">IF(AND(ABS($H66)&gt;=$K$8,ABS($G66)&gt;=$L$8),B66,0)</f>
        <v>0</v>
      </c>
      <c r="C259" s="326">
        <f t="shared" si="64"/>
        <v>0</v>
      </c>
      <c r="D259" s="350"/>
      <c r="E259" s="326">
        <f t="shared" si="47"/>
        <v>0</v>
      </c>
      <c r="F259" s="326">
        <f t="shared" si="47"/>
        <v>0</v>
      </c>
      <c r="G259" s="326">
        <f t="shared" si="47"/>
        <v>0</v>
      </c>
      <c r="H259" s="2277">
        <f t="shared" si="47"/>
        <v>0</v>
      </c>
    </row>
    <row r="260" spans="2:8">
      <c r="B260" s="326">
        <f t="shared" ref="B260:C260" si="65">IF(AND(ABS($H67)&gt;=$K$8,ABS($G67)&gt;=$L$8),B67,0)</f>
        <v>0</v>
      </c>
      <c r="C260" s="326">
        <f t="shared" si="65"/>
        <v>0</v>
      </c>
      <c r="D260" s="350"/>
      <c r="E260" s="326">
        <f t="shared" si="47"/>
        <v>0</v>
      </c>
      <c r="F260" s="326">
        <f t="shared" si="47"/>
        <v>0</v>
      </c>
      <c r="G260" s="326">
        <f t="shared" si="47"/>
        <v>0</v>
      </c>
      <c r="H260" s="2277">
        <f t="shared" si="47"/>
        <v>0</v>
      </c>
    </row>
    <row r="261" spans="2:8">
      <c r="B261" s="326">
        <f t="shared" ref="B261:C261" si="66">IF(AND(ABS($H68)&gt;=$K$8,ABS($G68)&gt;=$L$8),B68,0)</f>
        <v>0</v>
      </c>
      <c r="C261" s="326">
        <f t="shared" si="66"/>
        <v>0</v>
      </c>
      <c r="D261" s="350"/>
      <c r="E261" s="326">
        <f t="shared" si="47"/>
        <v>0</v>
      </c>
      <c r="F261" s="326">
        <f t="shared" si="47"/>
        <v>0</v>
      </c>
      <c r="G261" s="326">
        <f t="shared" si="47"/>
        <v>0</v>
      </c>
      <c r="H261" s="2277">
        <f t="shared" si="47"/>
        <v>0</v>
      </c>
    </row>
    <row r="262" spans="2:8">
      <c r="B262" s="326">
        <f t="shared" ref="B262:C262" si="67">IF(AND(ABS($H69)&gt;=$K$8,ABS($G69)&gt;=$L$8),B69,0)</f>
        <v>0</v>
      </c>
      <c r="C262" s="326">
        <f t="shared" si="67"/>
        <v>0</v>
      </c>
      <c r="D262" s="350"/>
      <c r="E262" s="326">
        <f t="shared" ref="E262:H263" si="68">IF(AND(ABS($H69)&gt;=$K$8,ABS($G69)&gt;=$L$8),E69,0)</f>
        <v>0</v>
      </c>
      <c r="F262" s="326">
        <f t="shared" si="68"/>
        <v>0</v>
      </c>
      <c r="G262" s="326">
        <f t="shared" si="68"/>
        <v>0</v>
      </c>
      <c r="H262" s="2277">
        <f t="shared" si="68"/>
        <v>0</v>
      </c>
    </row>
    <row r="263" spans="2:8">
      <c r="B263" s="326" t="str">
        <f t="shared" ref="B263:C263" si="69">IF(AND(ABS($H70)&gt;=$K$8,ABS($G70)&gt;=$L$8),B70,0)</f>
        <v>99 תשלומים לא רגילים</v>
      </c>
      <c r="C263" s="326">
        <f t="shared" si="69"/>
        <v>0</v>
      </c>
      <c r="D263" s="350"/>
      <c r="E263" s="326">
        <f t="shared" si="68"/>
        <v>131404</v>
      </c>
      <c r="F263" s="326">
        <f t="shared" si="68"/>
        <v>104510</v>
      </c>
      <c r="G263" s="326">
        <f t="shared" si="68"/>
        <v>26894</v>
      </c>
      <c r="H263" s="2277">
        <f t="shared" si="68"/>
        <v>0.25733422638981918</v>
      </c>
    </row>
  </sheetData>
  <sheetProtection password="BEE5" sheet="1" objects="1" scenarios="1"/>
  <mergeCells count="13">
    <mergeCell ref="E1:I1"/>
    <mergeCell ref="E2:I2"/>
    <mergeCell ref="B70:C70"/>
    <mergeCell ref="B40:C40"/>
    <mergeCell ref="E3:I3"/>
    <mergeCell ref="B5:H5"/>
    <mergeCell ref="B194:H194"/>
    <mergeCell ref="B195:H195"/>
    <mergeCell ref="B196:H196"/>
    <mergeCell ref="B201:C201"/>
    <mergeCell ref="B234:C234"/>
    <mergeCell ref="B199:C199"/>
    <mergeCell ref="B200:C200"/>
  </mergeCells>
  <phoneticPr fontId="4" type="noConversion"/>
  <hyperlinks>
    <hyperlink ref="A4" location="'תוכן הענינים'!A1" tooltip="לחץ להצגת גליון תוכן הענינים" display="הצג תוכן ענינים"/>
  </hyperlinks>
  <printOptions horizontalCentered="1"/>
  <pageMargins left="0.76" right="0.75" top="0.56000000000000005" bottom="0.52" header="0.39" footer="0.36"/>
  <pageSetup paperSize="9" scale="85" orientation="portrait" blackAndWhite="1" verticalDpi="300" r:id="rId1"/>
  <headerFooter alignWithMargins="0">
    <oddHeader>&amp;L&amp;8&amp;A</oddHeader>
    <oddFooter>&amp;C&amp;8&amp;P</odd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6"/>
  <dimension ref="A1:L266"/>
  <sheetViews>
    <sheetView showGridLines="0" showRowColHeaders="0" showZeros="0" rightToLeft="1" showOutlineSymbols="0" zoomScale="85" workbookViewId="0">
      <selection activeCell="A4" sqref="A4:B4"/>
    </sheetView>
  </sheetViews>
  <sheetFormatPr defaultColWidth="9.109375" defaultRowHeight="13.2"/>
  <cols>
    <col min="1" max="1" width="9.109375" style="2237"/>
    <col min="2" max="2" width="9.109375" style="2273"/>
    <col min="3" max="3" width="15.88671875" style="2273" customWidth="1"/>
    <col min="4" max="4" width="0" style="2273" hidden="1" customWidth="1"/>
    <col min="5" max="8" width="12.33203125" style="2273" customWidth="1"/>
    <col min="9" max="9" width="9.109375" style="2273"/>
    <col min="10" max="16384" width="9.109375" style="2237"/>
  </cols>
  <sheetData>
    <row r="1" spans="1:12" ht="20.25" customHeight="1">
      <c r="A1" s="2236"/>
      <c r="B1" s="2236"/>
      <c r="C1" s="2236"/>
      <c r="D1" s="2236"/>
      <c r="E1" s="3333" t="str">
        <f>'הגדרות כלליות'!D6</f>
        <v>עירית הרצליה</v>
      </c>
      <c r="F1" s="3612"/>
      <c r="G1" s="3612"/>
      <c r="H1" s="3612"/>
      <c r="I1" s="3646"/>
    </row>
    <row r="2" spans="1:12" ht="12.75" customHeight="1">
      <c r="A2" s="2236"/>
      <c r="B2" s="2236"/>
      <c r="C2" s="2236"/>
      <c r="D2" s="3333" t="str">
        <f>CONCATENATE("השוואת התקציב בשנת ",'הגדרות כלליות'!D10," לעומת הביצוע בשנת ",'הגדרות כלליות'!D10)</f>
        <v>השוואת התקציב בשנת 2015 לעומת הביצוע בשנת 2015</v>
      </c>
      <c r="E2" s="3333"/>
      <c r="F2" s="3333"/>
      <c r="G2" s="3333"/>
      <c r="H2" s="3333"/>
      <c r="I2" s="3467"/>
    </row>
    <row r="3" spans="1:12" ht="13.5" customHeight="1">
      <c r="A3" s="2236"/>
      <c r="B3" s="2236"/>
      <c r="C3" s="2236"/>
      <c r="D3" s="2236"/>
      <c r="E3" s="3333"/>
      <c r="F3" s="3647"/>
      <c r="G3" s="3647"/>
      <c r="H3" s="3647"/>
      <c r="I3" s="3648"/>
    </row>
    <row r="4" spans="1:12" ht="21" customHeight="1">
      <c r="A4" s="3633" t="s">
        <v>339</v>
      </c>
      <c r="B4" s="3634"/>
      <c r="C4" s="679"/>
      <c r="D4" s="679"/>
      <c r="E4" s="679"/>
      <c r="F4" s="679"/>
      <c r="G4" s="679"/>
      <c r="H4" s="679"/>
      <c r="I4" s="2238"/>
    </row>
    <row r="5" spans="1:12" ht="21" customHeight="1">
      <c r="A5" s="7"/>
      <c r="B5" s="670"/>
      <c r="C5" s="679"/>
      <c r="D5" s="679"/>
      <c r="E5" s="679"/>
      <c r="F5" s="679"/>
      <c r="G5" s="679"/>
      <c r="H5" s="679"/>
      <c r="I5" s="2238"/>
    </row>
    <row r="6" spans="1:12" ht="12" customHeight="1">
      <c r="A6" s="2239"/>
      <c r="B6" s="2240"/>
      <c r="C6" s="2241"/>
      <c r="D6" s="2242"/>
      <c r="E6" s="2243" t="str">
        <f>CONCATENATE("תקציב ",'הגדרות כלליות'!D10)</f>
        <v>תקציב 2015</v>
      </c>
      <c r="F6" s="2243" t="str">
        <f>CONCATENATE("ביצוע ",'הגדרות כלליות'!D10)</f>
        <v>ביצוע 2015</v>
      </c>
      <c r="G6" s="2243" t="s">
        <v>1168</v>
      </c>
      <c r="H6" s="2244" t="s">
        <v>1169</v>
      </c>
      <c r="I6" s="2238"/>
      <c r="K6" s="2237" t="str">
        <f>+'נספח 8 לטופס 2'!K6</f>
        <v>סכום הסטיה אשר יוצג בנספחים 7,8,9:</v>
      </c>
    </row>
    <row r="7" spans="1:12">
      <c r="A7" s="2239"/>
      <c r="B7" s="2245"/>
      <c r="C7" s="2246"/>
      <c r="D7" s="2246"/>
      <c r="E7" s="2246"/>
      <c r="F7" s="2246" t="s">
        <v>964</v>
      </c>
      <c r="G7" s="2246"/>
      <c r="H7" s="2247" t="s">
        <v>1085</v>
      </c>
      <c r="I7" s="2238"/>
    </row>
    <row r="8" spans="1:12" ht="21" customHeight="1">
      <c r="A8" s="2239"/>
      <c r="B8" s="2248" t="s">
        <v>1171</v>
      </c>
      <c r="C8" s="2249"/>
      <c r="D8" s="2250"/>
      <c r="E8" s="2250"/>
      <c r="F8" s="2250"/>
      <c r="G8" s="2250"/>
      <c r="H8" s="2251"/>
      <c r="I8" s="2238"/>
      <c r="K8" s="2237">
        <f>+'נספח 7 לטופס 2'!$K$8</f>
        <v>0.1</v>
      </c>
      <c r="L8" s="2237">
        <f>+'נספח 7 לטופס 2'!$L$8</f>
        <v>500</v>
      </c>
    </row>
    <row r="9" spans="1:12">
      <c r="A9" s="2239"/>
      <c r="B9" s="2252" t="s">
        <v>400</v>
      </c>
      <c r="C9" s="2253"/>
      <c r="D9" s="2254"/>
      <c r="E9" s="2255">
        <f>'טופס 2'!E11</f>
        <v>514500</v>
      </c>
      <c r="F9" s="2255">
        <f>'טופס 2'!G11</f>
        <v>539906</v>
      </c>
      <c r="G9" s="2255">
        <f t="shared" ref="G9:G40" si="0">F9 -E9</f>
        <v>25406</v>
      </c>
      <c r="H9" s="2256">
        <f t="shared" ref="H9:H40" si="1">IF(E9&lt;&gt;0,(G9/E9),0)</f>
        <v>4.937998056365403E-2</v>
      </c>
      <c r="I9" s="2238"/>
    </row>
    <row r="10" spans="1:12">
      <c r="A10" s="2239"/>
      <c r="B10" s="2257" t="s">
        <v>1172</v>
      </c>
      <c r="C10" s="2253"/>
      <c r="D10" s="2258"/>
      <c r="E10" s="2255">
        <f>'טופס 2'!E12</f>
        <v>3170</v>
      </c>
      <c r="F10" s="2255">
        <f>'טופס 2'!G12</f>
        <v>3095</v>
      </c>
      <c r="G10" s="2255">
        <f t="shared" si="0"/>
        <v>-75</v>
      </c>
      <c r="H10" s="2256">
        <f t="shared" si="1"/>
        <v>-2.365930599369085E-2</v>
      </c>
      <c r="I10" s="2238"/>
    </row>
    <row r="11" spans="1:12">
      <c r="A11" s="2239"/>
      <c r="B11" s="2257" t="s">
        <v>1173</v>
      </c>
      <c r="C11" s="2253"/>
      <c r="D11" s="2258"/>
      <c r="E11" s="2255">
        <f>'טופס 2'!E13</f>
        <v>0</v>
      </c>
      <c r="F11" s="2255">
        <f>'טופס 2'!G13</f>
        <v>0</v>
      </c>
      <c r="G11" s="2255">
        <f t="shared" si="0"/>
        <v>0</v>
      </c>
      <c r="H11" s="2256">
        <f t="shared" si="1"/>
        <v>0</v>
      </c>
      <c r="I11" s="2238"/>
    </row>
    <row r="12" spans="1:12">
      <c r="A12" s="2239"/>
      <c r="B12" s="2257" t="s">
        <v>422</v>
      </c>
      <c r="C12" s="2253"/>
      <c r="D12" s="2258"/>
      <c r="E12" s="2255">
        <f>'טופס 2'!E14</f>
        <v>0</v>
      </c>
      <c r="F12" s="2255">
        <f>'טופס 2'!G14</f>
        <v>0</v>
      </c>
      <c r="G12" s="2255">
        <f t="shared" si="0"/>
        <v>0</v>
      </c>
      <c r="H12" s="2256">
        <f t="shared" si="1"/>
        <v>0</v>
      </c>
      <c r="I12" s="2238"/>
    </row>
    <row r="13" spans="1:12">
      <c r="A13" s="2239"/>
      <c r="B13" s="2257" t="s">
        <v>1174</v>
      </c>
      <c r="C13" s="2253"/>
      <c r="D13" s="2258"/>
      <c r="E13" s="2255">
        <f>'טופס 2'!E15</f>
        <v>0</v>
      </c>
      <c r="F13" s="2255">
        <f>'טופס 2'!G15</f>
        <v>0</v>
      </c>
      <c r="G13" s="2255">
        <f t="shared" si="0"/>
        <v>0</v>
      </c>
      <c r="H13" s="2256">
        <f t="shared" si="1"/>
        <v>0</v>
      </c>
      <c r="I13" s="2238"/>
    </row>
    <row r="14" spans="1:12">
      <c r="A14" s="2239"/>
      <c r="B14" s="2257" t="s">
        <v>423</v>
      </c>
      <c r="C14" s="2253"/>
      <c r="D14" s="2258"/>
      <c r="E14" s="2255">
        <f>'טופס 2'!E16</f>
        <v>0</v>
      </c>
      <c r="F14" s="2255">
        <f>'טופס 2'!G16</f>
        <v>0</v>
      </c>
      <c r="G14" s="2255">
        <f t="shared" si="0"/>
        <v>0</v>
      </c>
      <c r="H14" s="2256">
        <f t="shared" si="1"/>
        <v>0</v>
      </c>
      <c r="I14" s="2238"/>
    </row>
    <row r="15" spans="1:12">
      <c r="A15" s="2239"/>
      <c r="B15" s="2252" t="s">
        <v>424</v>
      </c>
      <c r="C15" s="2253"/>
      <c r="D15" s="2258"/>
      <c r="E15" s="2255">
        <f>'טופס 2'!E17</f>
        <v>0</v>
      </c>
      <c r="F15" s="2255">
        <f>'טופס 2'!G17</f>
        <v>0</v>
      </c>
      <c r="G15" s="2255">
        <f t="shared" si="0"/>
        <v>0</v>
      </c>
      <c r="H15" s="2256">
        <f t="shared" si="1"/>
        <v>0</v>
      </c>
      <c r="I15" s="2238"/>
    </row>
    <row r="16" spans="1:12">
      <c r="A16" s="2239"/>
      <c r="B16" s="2252" t="s">
        <v>427</v>
      </c>
      <c r="C16" s="2259"/>
      <c r="D16" s="2258"/>
      <c r="E16" s="2255">
        <f>'טופס 2'!E21</f>
        <v>5718</v>
      </c>
      <c r="F16" s="2255">
        <f>'טופס 2'!G21</f>
        <v>3497</v>
      </c>
      <c r="G16" s="2255">
        <f t="shared" si="0"/>
        <v>-2221</v>
      </c>
      <c r="H16" s="2256">
        <f t="shared" si="1"/>
        <v>-0.38842252535851696</v>
      </c>
      <c r="I16" s="2238"/>
    </row>
    <row r="17" spans="1:9">
      <c r="A17" s="2239"/>
      <c r="B17" s="2252" t="s">
        <v>429</v>
      </c>
      <c r="C17" s="2259"/>
      <c r="D17" s="2258"/>
      <c r="E17" s="2255">
        <f>'טופס 2'!E22</f>
        <v>113</v>
      </c>
      <c r="F17" s="2255">
        <f>'טופס 2'!G22</f>
        <v>197</v>
      </c>
      <c r="G17" s="2255">
        <f t="shared" si="0"/>
        <v>84</v>
      </c>
      <c r="H17" s="2256">
        <f t="shared" si="1"/>
        <v>0.74336283185840712</v>
      </c>
      <c r="I17" s="2238"/>
    </row>
    <row r="18" spans="1:9">
      <c r="A18" s="2239"/>
      <c r="B18" s="2252" t="s">
        <v>431</v>
      </c>
      <c r="C18" s="2259"/>
      <c r="D18" s="2258"/>
      <c r="E18" s="2255">
        <f>'טופס 2'!E23</f>
        <v>19175</v>
      </c>
      <c r="F18" s="2255">
        <f>'טופס 2'!G23</f>
        <v>17861</v>
      </c>
      <c r="G18" s="2255">
        <f t="shared" si="0"/>
        <v>-1314</v>
      </c>
      <c r="H18" s="2256">
        <f t="shared" si="1"/>
        <v>-6.8526727509778354E-2</v>
      </c>
      <c r="I18" s="2238"/>
    </row>
    <row r="19" spans="1:9">
      <c r="A19" s="2239"/>
      <c r="B19" s="2252" t="s">
        <v>433</v>
      </c>
      <c r="C19" s="2253"/>
      <c r="D19" s="2258"/>
      <c r="E19" s="2255">
        <f>'טופס 2'!E24</f>
        <v>2315</v>
      </c>
      <c r="F19" s="2255">
        <f>'טופס 2'!G24</f>
        <v>1295</v>
      </c>
      <c r="G19" s="2255">
        <f t="shared" si="0"/>
        <v>-1020</v>
      </c>
      <c r="H19" s="2256">
        <f t="shared" si="1"/>
        <v>-0.44060475161987039</v>
      </c>
      <c r="I19" s="2238"/>
    </row>
    <row r="20" spans="1:9">
      <c r="A20" s="2239"/>
      <c r="B20" s="2260" t="s">
        <v>1175</v>
      </c>
      <c r="C20" s="2259"/>
      <c r="D20" s="2258"/>
      <c r="E20" s="2255">
        <f>'טופס 2'!E25</f>
        <v>0</v>
      </c>
      <c r="F20" s="2255">
        <f>'טופס 2'!G25</f>
        <v>0</v>
      </c>
      <c r="G20" s="2255">
        <f t="shared" si="0"/>
        <v>0</v>
      </c>
      <c r="H20" s="2256">
        <f t="shared" si="1"/>
        <v>0</v>
      </c>
      <c r="I20" s="2238"/>
    </row>
    <row r="21" spans="1:9">
      <c r="A21" s="2239"/>
      <c r="B21" s="2252" t="s">
        <v>437</v>
      </c>
      <c r="C21" s="2253"/>
      <c r="D21" s="2258"/>
      <c r="E21" s="2255">
        <f>'טופס 2'!E26</f>
        <v>660</v>
      </c>
      <c r="F21" s="2255">
        <f>'טופס 2'!G26</f>
        <v>747</v>
      </c>
      <c r="G21" s="2255">
        <f t="shared" si="0"/>
        <v>87</v>
      </c>
      <c r="H21" s="2256">
        <f t="shared" si="1"/>
        <v>0.13181818181818181</v>
      </c>
      <c r="I21" s="2238"/>
    </row>
    <row r="22" spans="1:9">
      <c r="A22" s="2239"/>
      <c r="B22" s="2252" t="s">
        <v>439</v>
      </c>
      <c r="C22" s="2259"/>
      <c r="D22" s="2258"/>
      <c r="E22" s="2255">
        <f>'טופס 2'!E27</f>
        <v>0</v>
      </c>
      <c r="F22" s="2255">
        <f>'טופס 2'!G27</f>
        <v>0</v>
      </c>
      <c r="G22" s="2255">
        <f t="shared" si="0"/>
        <v>0</v>
      </c>
      <c r="H22" s="2256">
        <f t="shared" si="1"/>
        <v>0</v>
      </c>
      <c r="I22" s="2238"/>
    </row>
    <row r="23" spans="1:9">
      <c r="A23" s="2239"/>
      <c r="B23" s="2252" t="s">
        <v>441</v>
      </c>
      <c r="C23" s="2259"/>
      <c r="D23" s="2258"/>
      <c r="E23" s="2255">
        <f>'טופס 2'!E28</f>
        <v>1700</v>
      </c>
      <c r="F23" s="2255">
        <f>'טופס 2'!G28</f>
        <v>1103</v>
      </c>
      <c r="G23" s="2255">
        <f t="shared" si="0"/>
        <v>-597</v>
      </c>
      <c r="H23" s="2256">
        <f t="shared" si="1"/>
        <v>-0.35117647058823531</v>
      </c>
      <c r="I23" s="2238"/>
    </row>
    <row r="24" spans="1:9">
      <c r="A24" s="2239"/>
      <c r="B24" s="2252" t="s">
        <v>443</v>
      </c>
      <c r="C24" s="2259"/>
      <c r="D24" s="2258"/>
      <c r="E24" s="2255">
        <f>'טופס 2'!E29</f>
        <v>50</v>
      </c>
      <c r="F24" s="2255">
        <f>'טופס 2'!G29</f>
        <v>65</v>
      </c>
      <c r="G24" s="2255">
        <f t="shared" si="0"/>
        <v>15</v>
      </c>
      <c r="H24" s="2256">
        <f t="shared" si="1"/>
        <v>0.3</v>
      </c>
      <c r="I24" s="2238"/>
    </row>
    <row r="25" spans="1:9">
      <c r="A25" s="2239"/>
      <c r="B25" s="2252" t="s">
        <v>447</v>
      </c>
      <c r="C25" s="2253"/>
      <c r="D25" s="2258"/>
      <c r="E25" s="2255">
        <f>'טופס 2'!E33</f>
        <v>145333</v>
      </c>
      <c r="F25" s="2255">
        <f>'טופס 2'!G33</f>
        <v>144463</v>
      </c>
      <c r="G25" s="2255">
        <f t="shared" si="0"/>
        <v>-870</v>
      </c>
      <c r="H25" s="2256">
        <f t="shared" si="1"/>
        <v>-5.9862522620464723E-3</v>
      </c>
      <c r="I25" s="2238"/>
    </row>
    <row r="26" spans="1:9">
      <c r="A26" s="2239"/>
      <c r="B26" s="2252" t="s">
        <v>449</v>
      </c>
      <c r="C26" s="2253"/>
      <c r="D26" s="2258"/>
      <c r="E26" s="2255">
        <f>'טופס 2'!E34</f>
        <v>3434</v>
      </c>
      <c r="F26" s="2255">
        <f>'טופס 2'!G34</f>
        <v>3178</v>
      </c>
      <c r="G26" s="2255">
        <f t="shared" si="0"/>
        <v>-256</v>
      </c>
      <c r="H26" s="2256">
        <f t="shared" si="1"/>
        <v>-7.454863133372161E-2</v>
      </c>
      <c r="I26" s="2238"/>
    </row>
    <row r="27" spans="1:9">
      <c r="A27" s="2239"/>
      <c r="B27" s="2252" t="s">
        <v>451</v>
      </c>
      <c r="C27" s="2253"/>
      <c r="D27" s="2258"/>
      <c r="E27" s="2255">
        <f>'טופס 2'!E35</f>
        <v>0</v>
      </c>
      <c r="F27" s="2255">
        <f>'טופס 2'!G35</f>
        <v>0</v>
      </c>
      <c r="G27" s="2255">
        <f t="shared" si="0"/>
        <v>0</v>
      </c>
      <c r="H27" s="2256">
        <f t="shared" si="1"/>
        <v>0</v>
      </c>
      <c r="I27" s="2238"/>
    </row>
    <row r="28" spans="1:9">
      <c r="A28" s="2239"/>
      <c r="B28" s="2252" t="s">
        <v>453</v>
      </c>
      <c r="C28" s="2253"/>
      <c r="D28" s="2258"/>
      <c r="E28" s="2255">
        <f>'טופס 2'!E36</f>
        <v>54654</v>
      </c>
      <c r="F28" s="2255">
        <f>'טופס 2'!G36</f>
        <v>52940</v>
      </c>
      <c r="G28" s="2255">
        <f t="shared" si="0"/>
        <v>-1714</v>
      </c>
      <c r="H28" s="2256">
        <f t="shared" si="1"/>
        <v>-3.1360925092399461E-2</v>
      </c>
      <c r="I28" s="2238"/>
    </row>
    <row r="29" spans="1:9">
      <c r="A29" s="2239"/>
      <c r="B29" s="2252" t="s">
        <v>455</v>
      </c>
      <c r="C29" s="2253"/>
      <c r="D29" s="2258"/>
      <c r="E29" s="2255">
        <f>'טופס 2'!E37</f>
        <v>0</v>
      </c>
      <c r="F29" s="2255">
        <f>'טופס 2'!G37</f>
        <v>0</v>
      </c>
      <c r="G29" s="2255">
        <f t="shared" si="0"/>
        <v>0</v>
      </c>
      <c r="H29" s="2256">
        <f t="shared" si="1"/>
        <v>0</v>
      </c>
      <c r="I29" s="2238"/>
    </row>
    <row r="30" spans="1:9">
      <c r="A30" s="2239"/>
      <c r="B30" s="2252" t="s">
        <v>1176</v>
      </c>
      <c r="C30" s="2253"/>
      <c r="D30" s="2258"/>
      <c r="E30" s="2255">
        <f>'טופס 2'!E38</f>
        <v>125</v>
      </c>
      <c r="F30" s="2255">
        <f>'טופס 2'!G38</f>
        <v>127</v>
      </c>
      <c r="G30" s="2255">
        <f t="shared" si="0"/>
        <v>2</v>
      </c>
      <c r="H30" s="2256">
        <f t="shared" si="1"/>
        <v>1.6E-2</v>
      </c>
      <c r="I30" s="2238"/>
    </row>
    <row r="31" spans="1:9">
      <c r="A31" s="2239"/>
      <c r="B31" s="2252" t="s">
        <v>459</v>
      </c>
      <c r="C31" s="2253"/>
      <c r="D31" s="2258"/>
      <c r="E31" s="2255">
        <f>'טופס 2'!E39</f>
        <v>169</v>
      </c>
      <c r="F31" s="2255">
        <f>'טופס 2'!G39</f>
        <v>36</v>
      </c>
      <c r="G31" s="2255">
        <f t="shared" si="0"/>
        <v>-133</v>
      </c>
      <c r="H31" s="2256">
        <f t="shared" si="1"/>
        <v>-0.78698224852071008</v>
      </c>
      <c r="I31" s="2238"/>
    </row>
    <row r="32" spans="1:9">
      <c r="A32" s="2239"/>
      <c r="B32" s="2252" t="s">
        <v>463</v>
      </c>
      <c r="C32" s="2253"/>
      <c r="D32" s="2258"/>
      <c r="E32" s="2255">
        <f>'טופס 2'!E43</f>
        <v>2610</v>
      </c>
      <c r="F32" s="2255">
        <f>'טופס 2'!G43</f>
        <v>2879</v>
      </c>
      <c r="G32" s="2255">
        <f t="shared" si="0"/>
        <v>269</v>
      </c>
      <c r="H32" s="2256">
        <f t="shared" si="1"/>
        <v>0.10306513409961686</v>
      </c>
      <c r="I32" s="2238"/>
    </row>
    <row r="33" spans="1:9">
      <c r="A33" s="2239"/>
      <c r="B33" s="2252" t="s">
        <v>465</v>
      </c>
      <c r="C33" s="2253"/>
      <c r="D33" s="2258"/>
      <c r="E33" s="2255">
        <f>'טופס 2'!E44</f>
        <v>0</v>
      </c>
      <c r="F33" s="2255">
        <f>'טופס 2'!G44</f>
        <v>0</v>
      </c>
      <c r="G33" s="2255">
        <f t="shared" si="0"/>
        <v>0</v>
      </c>
      <c r="H33" s="2256">
        <f t="shared" si="1"/>
        <v>0</v>
      </c>
      <c r="I33" s="2238"/>
    </row>
    <row r="34" spans="1:9">
      <c r="A34" s="2239"/>
      <c r="B34" s="2252" t="s">
        <v>467</v>
      </c>
      <c r="C34" s="2253"/>
      <c r="D34" s="2258"/>
      <c r="E34" s="2255">
        <f>'טופס 2'!E45</f>
        <v>7590</v>
      </c>
      <c r="F34" s="2255">
        <f>'טופס 2'!G45</f>
        <v>8665</v>
      </c>
      <c r="G34" s="2255">
        <f t="shared" si="0"/>
        <v>1075</v>
      </c>
      <c r="H34" s="2256">
        <f t="shared" si="1"/>
        <v>0.14163372859025034</v>
      </c>
      <c r="I34" s="2238"/>
    </row>
    <row r="35" spans="1:9">
      <c r="A35" s="2239"/>
      <c r="B35" s="2252" t="s">
        <v>469</v>
      </c>
      <c r="C35" s="2253"/>
      <c r="D35" s="2258"/>
      <c r="E35" s="2255">
        <f>'טופס 2'!E46</f>
        <v>24775</v>
      </c>
      <c r="F35" s="2255">
        <f>'טופס 2'!G46</f>
        <v>30511</v>
      </c>
      <c r="G35" s="2255">
        <f t="shared" si="0"/>
        <v>5736</v>
      </c>
      <c r="H35" s="2256">
        <f t="shared" si="1"/>
        <v>0.23152371342078709</v>
      </c>
      <c r="I35" s="2238"/>
    </row>
    <row r="36" spans="1:9">
      <c r="A36" s="2239"/>
      <c r="B36" s="2252" t="s">
        <v>471</v>
      </c>
      <c r="C36" s="2253"/>
      <c r="D36" s="2258"/>
      <c r="E36" s="2255">
        <f>'טופס 2'!E47</f>
        <v>0</v>
      </c>
      <c r="F36" s="2255">
        <f>'טופס 2'!G47</f>
        <v>0</v>
      </c>
      <c r="G36" s="2255">
        <f t="shared" si="0"/>
        <v>0</v>
      </c>
      <c r="H36" s="2256">
        <f t="shared" si="1"/>
        <v>0</v>
      </c>
      <c r="I36" s="2238"/>
    </row>
    <row r="37" spans="1:9">
      <c r="A37" s="2239"/>
      <c r="B37" s="2252" t="s">
        <v>473</v>
      </c>
      <c r="C37" s="2253"/>
      <c r="D37" s="2258"/>
      <c r="E37" s="2255">
        <f>'טופס 2'!E48</f>
        <v>0</v>
      </c>
      <c r="F37" s="2255">
        <f>'טופס 2'!G48</f>
        <v>0</v>
      </c>
      <c r="G37" s="2255">
        <f t="shared" si="0"/>
        <v>0</v>
      </c>
      <c r="H37" s="2256">
        <f t="shared" si="1"/>
        <v>0</v>
      </c>
      <c r="I37" s="2238"/>
    </row>
    <row r="38" spans="1:9">
      <c r="A38" s="2239"/>
      <c r="B38" s="2252" t="s">
        <v>475</v>
      </c>
      <c r="C38" s="2253"/>
      <c r="D38" s="2258"/>
      <c r="E38" s="2255">
        <f>'טופס 2'!E49</f>
        <v>11610</v>
      </c>
      <c r="F38" s="2255">
        <f>'טופס 2'!G49</f>
        <v>10067</v>
      </c>
      <c r="G38" s="2255">
        <f t="shared" si="0"/>
        <v>-1543</v>
      </c>
      <c r="H38" s="2256">
        <f t="shared" si="1"/>
        <v>-0.13290267011197243</v>
      </c>
      <c r="I38" s="2238"/>
    </row>
    <row r="39" spans="1:9">
      <c r="A39" s="2239"/>
      <c r="B39" s="2252" t="s">
        <v>476</v>
      </c>
      <c r="C39" s="2253"/>
      <c r="D39" s="2258"/>
      <c r="E39" s="2255">
        <f>'טופס 2'!E50</f>
        <v>0</v>
      </c>
      <c r="F39" s="2255">
        <f>'טופס 2'!G50</f>
        <v>0</v>
      </c>
      <c r="G39" s="2255">
        <f t="shared" si="0"/>
        <v>0</v>
      </c>
      <c r="H39" s="2256">
        <f t="shared" si="1"/>
        <v>0</v>
      </c>
      <c r="I39" s="2238"/>
    </row>
    <row r="40" spans="1:9" ht="13.2" customHeight="1">
      <c r="A40" s="2239"/>
      <c r="B40" s="3644" t="s">
        <v>1177</v>
      </c>
      <c r="C40" s="3645"/>
      <c r="D40" s="2258"/>
      <c r="E40" s="2255">
        <f>'טופס 2'!E53</f>
        <v>38524</v>
      </c>
      <c r="F40" s="2255">
        <f>'טופס 2'!G53</f>
        <v>33153</v>
      </c>
      <c r="G40" s="2255">
        <f t="shared" si="0"/>
        <v>-5371</v>
      </c>
      <c r="H40" s="2261">
        <f t="shared" si="1"/>
        <v>-0.13941958259786108</v>
      </c>
      <c r="I40" s="2238"/>
    </row>
    <row r="41" spans="1:9" ht="27" customHeight="1">
      <c r="A41" s="2239"/>
      <c r="B41" s="2262" t="s">
        <v>1178</v>
      </c>
      <c r="C41" s="2253"/>
      <c r="D41" s="2263"/>
      <c r="E41" s="2264"/>
      <c r="F41" s="2264"/>
      <c r="G41" s="2264"/>
      <c r="H41" s="2265"/>
      <c r="I41" s="2238"/>
    </row>
    <row r="42" spans="1:9">
      <c r="A42" s="2239"/>
      <c r="B42" s="2266" t="s">
        <v>417</v>
      </c>
      <c r="C42" s="2253"/>
      <c r="D42" s="2258"/>
      <c r="E42" s="2255">
        <f>'טופס 2'!N11</f>
        <v>29643</v>
      </c>
      <c r="F42" s="2255">
        <f>'טופס 2'!P11</f>
        <v>28572</v>
      </c>
      <c r="G42" s="2255">
        <f t="shared" ref="G42:G70" si="2">F42 -E42</f>
        <v>-1071</v>
      </c>
      <c r="H42" s="2261">
        <f t="shared" ref="H42:H70" si="3">IF(E42&lt;&gt;0,(G42/E42),0)</f>
        <v>-3.6129946361704281E-2</v>
      </c>
      <c r="I42" s="2238"/>
    </row>
    <row r="43" spans="1:9">
      <c r="A43" s="2239"/>
      <c r="B43" s="2266" t="s">
        <v>419</v>
      </c>
      <c r="C43" s="2253"/>
      <c r="D43" s="2258"/>
      <c r="E43" s="2255">
        <f>'טופס 2'!N12</f>
        <v>18995</v>
      </c>
      <c r="F43" s="2255">
        <f>'טופס 2'!P12</f>
        <v>16742</v>
      </c>
      <c r="G43" s="2255">
        <f t="shared" si="2"/>
        <v>-2253</v>
      </c>
      <c r="H43" s="2261">
        <f t="shared" si="3"/>
        <v>-0.11861016056857068</v>
      </c>
      <c r="I43" s="2238"/>
    </row>
    <row r="44" spans="1:9">
      <c r="A44" s="2239"/>
      <c r="B44" s="2266" t="s">
        <v>421</v>
      </c>
      <c r="C44" s="2253"/>
      <c r="D44" s="2258"/>
      <c r="E44" s="2255">
        <f>'טופס 2'!N13</f>
        <v>2910</v>
      </c>
      <c r="F44" s="2255">
        <f>'טופס 2'!P13</f>
        <v>2630</v>
      </c>
      <c r="G44" s="2255">
        <f t="shared" si="2"/>
        <v>-280</v>
      </c>
      <c r="H44" s="2261">
        <f t="shared" si="3"/>
        <v>-9.6219931271477668E-2</v>
      </c>
      <c r="I44" s="2238"/>
    </row>
    <row r="45" spans="1:9">
      <c r="A45" s="2239"/>
      <c r="B45" s="2266" t="s">
        <v>1179</v>
      </c>
      <c r="C45" s="2253"/>
      <c r="D45" s="2258"/>
      <c r="E45" s="2255">
        <f>'טופס 2'!N14</f>
        <v>26350</v>
      </c>
      <c r="F45" s="2255">
        <f>'טופס 2'!P14</f>
        <v>24801</v>
      </c>
      <c r="G45" s="2255">
        <f t="shared" si="2"/>
        <v>-1549</v>
      </c>
      <c r="H45" s="2261">
        <f t="shared" si="3"/>
        <v>-5.8785578747628082E-2</v>
      </c>
      <c r="I45" s="2238"/>
    </row>
    <row r="46" spans="1:9">
      <c r="A46" s="2239"/>
      <c r="B46" s="2252" t="s">
        <v>428</v>
      </c>
      <c r="C46" s="2259"/>
      <c r="D46" s="2258"/>
      <c r="E46" s="2255">
        <f>'טופס 2'!N21</f>
        <v>68921</v>
      </c>
      <c r="F46" s="2255">
        <f>'טופס 2'!P21</f>
        <v>67782</v>
      </c>
      <c r="G46" s="2255">
        <f t="shared" si="2"/>
        <v>-1139</v>
      </c>
      <c r="H46" s="2261">
        <f t="shared" si="3"/>
        <v>-1.6526167641212404E-2</v>
      </c>
      <c r="I46" s="2238"/>
    </row>
    <row r="47" spans="1:9">
      <c r="A47" s="2239"/>
      <c r="B47" s="2252" t="s">
        <v>430</v>
      </c>
      <c r="C47" s="2259"/>
      <c r="D47" s="2258"/>
      <c r="E47" s="2255">
        <f>'טופס 2'!N22</f>
        <v>12831</v>
      </c>
      <c r="F47" s="2255">
        <f>'טופס 2'!P22</f>
        <v>11796</v>
      </c>
      <c r="G47" s="2255">
        <f t="shared" si="2"/>
        <v>-1035</v>
      </c>
      <c r="H47" s="2261">
        <f t="shared" si="3"/>
        <v>-8.0664016834229607E-2</v>
      </c>
      <c r="I47" s="2238"/>
    </row>
    <row r="48" spans="1:9">
      <c r="A48" s="2239"/>
      <c r="B48" s="2252" t="s">
        <v>432</v>
      </c>
      <c r="C48" s="2259"/>
      <c r="D48" s="2258"/>
      <c r="E48" s="2255">
        <f>'טופס 2'!N23</f>
        <v>15931</v>
      </c>
      <c r="F48" s="2255">
        <f>'טופס 2'!P23</f>
        <v>14634</v>
      </c>
      <c r="G48" s="2255">
        <f t="shared" si="2"/>
        <v>-1297</v>
      </c>
      <c r="H48" s="2261">
        <f t="shared" si="3"/>
        <v>-8.1413596133324967E-2</v>
      </c>
      <c r="I48" s="2238"/>
    </row>
    <row r="49" spans="1:9">
      <c r="A49" s="2239"/>
      <c r="B49" s="2252" t="s">
        <v>434</v>
      </c>
      <c r="C49" s="2253"/>
      <c r="D49" s="2258"/>
      <c r="E49" s="2255">
        <f>'טופס 2'!N24</f>
        <v>57934</v>
      </c>
      <c r="F49" s="2255">
        <f>'טופס 2'!P24</f>
        <v>53283</v>
      </c>
      <c r="G49" s="2255">
        <f t="shared" si="2"/>
        <v>-4651</v>
      </c>
      <c r="H49" s="2261">
        <f t="shared" si="3"/>
        <v>-8.028100942451756E-2</v>
      </c>
      <c r="I49" s="2238"/>
    </row>
    <row r="50" spans="1:9">
      <c r="A50" s="2239"/>
      <c r="B50" s="2260" t="s">
        <v>1180</v>
      </c>
      <c r="C50" s="2259"/>
      <c r="D50" s="2258"/>
      <c r="E50" s="2255">
        <f>'טופס 2'!N25</f>
        <v>1723</v>
      </c>
      <c r="F50" s="2255">
        <f>'טופס 2'!P25</f>
        <v>1686</v>
      </c>
      <c r="G50" s="2255">
        <f t="shared" si="2"/>
        <v>-37</v>
      </c>
      <c r="H50" s="2261">
        <f t="shared" si="3"/>
        <v>-2.1474172954149738E-2</v>
      </c>
      <c r="I50" s="2238"/>
    </row>
    <row r="51" spans="1:9">
      <c r="A51" s="2239"/>
      <c r="B51" s="2252" t="s">
        <v>438</v>
      </c>
      <c r="C51" s="2253"/>
      <c r="D51" s="2258"/>
      <c r="E51" s="2255">
        <f>'טופס 2'!N26</f>
        <v>15903</v>
      </c>
      <c r="F51" s="2255">
        <f>'טופס 2'!P26</f>
        <v>14896</v>
      </c>
      <c r="G51" s="2255">
        <f t="shared" si="2"/>
        <v>-1007</v>
      </c>
      <c r="H51" s="2261">
        <f t="shared" si="3"/>
        <v>-6.3321385902031069E-2</v>
      </c>
      <c r="I51" s="2238"/>
    </row>
    <row r="52" spans="1:9">
      <c r="A52" s="2239"/>
      <c r="B52" s="2252" t="s">
        <v>440</v>
      </c>
      <c r="C52" s="2259"/>
      <c r="D52" s="2258"/>
      <c r="E52" s="2255">
        <f>'טופס 2'!N27</f>
        <v>926</v>
      </c>
      <c r="F52" s="2255">
        <f>'טופס 2'!P27</f>
        <v>873</v>
      </c>
      <c r="G52" s="2255">
        <f t="shared" si="2"/>
        <v>-53</v>
      </c>
      <c r="H52" s="2261">
        <f t="shared" si="3"/>
        <v>-5.7235421166306692E-2</v>
      </c>
      <c r="I52" s="2238"/>
    </row>
    <row r="53" spans="1:9">
      <c r="A53" s="2239"/>
      <c r="B53" s="2252" t="s">
        <v>442</v>
      </c>
      <c r="C53" s="2259"/>
      <c r="D53" s="2258"/>
      <c r="E53" s="2255">
        <f>'טופס 2'!N28</f>
        <v>8871</v>
      </c>
      <c r="F53" s="2255">
        <f>'טופס 2'!P28</f>
        <v>7474</v>
      </c>
      <c r="G53" s="2255">
        <f t="shared" si="2"/>
        <v>-1397</v>
      </c>
      <c r="H53" s="2261">
        <f t="shared" si="3"/>
        <v>-0.15747942734753692</v>
      </c>
      <c r="I53" s="2238"/>
    </row>
    <row r="54" spans="1:9">
      <c r="A54" s="2239"/>
      <c r="B54" s="2252" t="s">
        <v>444</v>
      </c>
      <c r="C54" s="2259"/>
      <c r="D54" s="2258"/>
      <c r="E54" s="2255">
        <f>'טופס 2'!N29</f>
        <v>34</v>
      </c>
      <c r="F54" s="2255">
        <f>'טופס 2'!P29</f>
        <v>43</v>
      </c>
      <c r="G54" s="2255">
        <f t="shared" si="2"/>
        <v>9</v>
      </c>
      <c r="H54" s="2261">
        <f t="shared" si="3"/>
        <v>0.26470588235294118</v>
      </c>
      <c r="I54" s="2238"/>
    </row>
    <row r="55" spans="1:9">
      <c r="A55" s="2239"/>
      <c r="B55" s="2252" t="s">
        <v>448</v>
      </c>
      <c r="C55" s="2253"/>
      <c r="D55" s="2258"/>
      <c r="E55" s="2255">
        <f>'טופס 2'!N33</f>
        <v>269332</v>
      </c>
      <c r="F55" s="2255">
        <f>'טופס 2'!P33</f>
        <v>259979</v>
      </c>
      <c r="G55" s="2255">
        <f t="shared" si="2"/>
        <v>-9353</v>
      </c>
      <c r="H55" s="2261">
        <f t="shared" si="3"/>
        <v>-3.4726657062658726E-2</v>
      </c>
      <c r="I55" s="2238"/>
    </row>
    <row r="56" spans="1:9">
      <c r="A56" s="2239"/>
      <c r="B56" s="2252" t="s">
        <v>450</v>
      </c>
      <c r="C56" s="2253"/>
      <c r="D56" s="2258"/>
      <c r="E56" s="2255">
        <f>'טופס 2'!N34</f>
        <v>70277</v>
      </c>
      <c r="F56" s="2255">
        <f>'טופס 2'!P34</f>
        <v>67481</v>
      </c>
      <c r="G56" s="2255">
        <f t="shared" si="2"/>
        <v>-2796</v>
      </c>
      <c r="H56" s="2261">
        <f t="shared" si="3"/>
        <v>-3.9785420550108856E-2</v>
      </c>
      <c r="I56" s="2238"/>
    </row>
    <row r="57" spans="1:9">
      <c r="A57" s="2239"/>
      <c r="B57" s="2252" t="s">
        <v>452</v>
      </c>
      <c r="C57" s="2253"/>
      <c r="D57" s="2258"/>
      <c r="E57" s="2255">
        <f>'טופס 2'!N35</f>
        <v>1995</v>
      </c>
      <c r="F57" s="2255">
        <f>'טופס 2'!P35</f>
        <v>1742</v>
      </c>
      <c r="G57" s="2255">
        <f t="shared" si="2"/>
        <v>-253</v>
      </c>
      <c r="H57" s="2261">
        <f t="shared" si="3"/>
        <v>-0.1268170426065163</v>
      </c>
      <c r="I57" s="2238"/>
    </row>
    <row r="58" spans="1:9">
      <c r="A58" s="2239"/>
      <c r="B58" s="2252" t="s">
        <v>454</v>
      </c>
      <c r="C58" s="2253"/>
      <c r="D58" s="2258"/>
      <c r="E58" s="2255">
        <f>'טופס 2'!N36</f>
        <v>91463</v>
      </c>
      <c r="F58" s="2255">
        <f>'טופס 2'!P36</f>
        <v>87479</v>
      </c>
      <c r="G58" s="2255">
        <f t="shared" si="2"/>
        <v>-3984</v>
      </c>
      <c r="H58" s="2261">
        <f t="shared" si="3"/>
        <v>-4.3558597465641842E-2</v>
      </c>
      <c r="I58" s="2238"/>
    </row>
    <row r="59" spans="1:9">
      <c r="A59" s="2239"/>
      <c r="B59" s="2252" t="s">
        <v>1181</v>
      </c>
      <c r="C59" s="2253"/>
      <c r="D59" s="2258"/>
      <c r="E59" s="2255">
        <f>'טופס 2'!N37</f>
        <v>6445</v>
      </c>
      <c r="F59" s="2255">
        <f>'טופס 2'!P37</f>
        <v>6397</v>
      </c>
      <c r="G59" s="2255">
        <f t="shared" si="2"/>
        <v>-48</v>
      </c>
      <c r="H59" s="2261">
        <f t="shared" si="3"/>
        <v>-7.4476338246702873E-3</v>
      </c>
      <c r="I59" s="2238"/>
    </row>
    <row r="60" spans="1:9">
      <c r="A60" s="2239"/>
      <c r="B60" s="2252" t="s">
        <v>1182</v>
      </c>
      <c r="C60" s="2253"/>
      <c r="D60" s="2258"/>
      <c r="E60" s="2255">
        <f>'טופס 2'!N38</f>
        <v>424</v>
      </c>
      <c r="F60" s="2255">
        <f>'טופס 2'!P38</f>
        <v>360</v>
      </c>
      <c r="G60" s="2255">
        <f t="shared" si="2"/>
        <v>-64</v>
      </c>
      <c r="H60" s="2261">
        <f t="shared" si="3"/>
        <v>-0.15094339622641509</v>
      </c>
      <c r="I60" s="2238"/>
    </row>
    <row r="61" spans="1:9">
      <c r="A61" s="2239"/>
      <c r="B61" s="2252" t="s">
        <v>460</v>
      </c>
      <c r="C61" s="2253"/>
      <c r="D61" s="2258"/>
      <c r="E61" s="2255">
        <f>'טופס 2'!N39</f>
        <v>2193</v>
      </c>
      <c r="F61" s="2255">
        <f>'טופס 2'!P39</f>
        <v>1803</v>
      </c>
      <c r="G61" s="2255">
        <f t="shared" si="2"/>
        <v>-390</v>
      </c>
      <c r="H61" s="2261">
        <f t="shared" si="3"/>
        <v>-0.17783857729138167</v>
      </c>
      <c r="I61" s="2238"/>
    </row>
    <row r="62" spans="1:9">
      <c r="A62" s="2239"/>
      <c r="B62" s="2252" t="s">
        <v>464</v>
      </c>
      <c r="C62" s="2253"/>
      <c r="D62" s="2258"/>
      <c r="E62" s="2255">
        <f>'טופס 2'!N43</f>
        <v>2750</v>
      </c>
      <c r="F62" s="2255">
        <f>'טופס 2'!P43</f>
        <v>2502</v>
      </c>
      <c r="G62" s="2255">
        <f t="shared" si="2"/>
        <v>-248</v>
      </c>
      <c r="H62" s="2261">
        <f t="shared" si="3"/>
        <v>-9.0181818181818182E-2</v>
      </c>
      <c r="I62" s="2238"/>
    </row>
    <row r="63" spans="1:9">
      <c r="A63" s="2239"/>
      <c r="B63" s="2252" t="s">
        <v>466</v>
      </c>
      <c r="C63" s="2253"/>
      <c r="D63" s="2258"/>
      <c r="E63" s="2255">
        <f>'טופס 2'!N44</f>
        <v>0</v>
      </c>
      <c r="F63" s="2255">
        <f>'טופס 2'!P44</f>
        <v>0</v>
      </c>
      <c r="G63" s="2255">
        <f t="shared" si="2"/>
        <v>0</v>
      </c>
      <c r="H63" s="2261">
        <f t="shared" si="3"/>
        <v>0</v>
      </c>
      <c r="I63" s="2238"/>
    </row>
    <row r="64" spans="1:9">
      <c r="A64" s="2239"/>
      <c r="B64" s="2252" t="s">
        <v>468</v>
      </c>
      <c r="C64" s="2253"/>
      <c r="D64" s="2258"/>
      <c r="E64" s="2255">
        <f>'טופס 2'!N45</f>
        <v>17944</v>
      </c>
      <c r="F64" s="2255">
        <f>'טופס 2'!P45</f>
        <v>17249</v>
      </c>
      <c r="G64" s="2255">
        <f t="shared" si="2"/>
        <v>-695</v>
      </c>
      <c r="H64" s="2261">
        <f t="shared" si="3"/>
        <v>-3.8731609451627284E-2</v>
      </c>
      <c r="I64" s="2238"/>
    </row>
    <row r="65" spans="1:9">
      <c r="A65" s="2239"/>
      <c r="B65" s="2252" t="s">
        <v>470</v>
      </c>
      <c r="C65" s="2253"/>
      <c r="D65" s="2258"/>
      <c r="E65" s="2255">
        <f>'טופס 2'!N46</f>
        <v>3951</v>
      </c>
      <c r="F65" s="2255">
        <f>'טופס 2'!P46</f>
        <v>3543</v>
      </c>
      <c r="G65" s="2255">
        <f t="shared" si="2"/>
        <v>-408</v>
      </c>
      <c r="H65" s="2261">
        <f t="shared" si="3"/>
        <v>-0.10326499620349279</v>
      </c>
      <c r="I65" s="2238"/>
    </row>
    <row r="66" spans="1:9">
      <c r="A66" s="2239"/>
      <c r="B66" s="2252" t="s">
        <v>472</v>
      </c>
      <c r="C66" s="2253"/>
      <c r="D66" s="2258"/>
      <c r="E66" s="2255">
        <f>'טופס 2'!N47</f>
        <v>0</v>
      </c>
      <c r="F66" s="2255">
        <f>'טופס 2'!P47</f>
        <v>0</v>
      </c>
      <c r="G66" s="2255">
        <f t="shared" si="2"/>
        <v>0</v>
      </c>
      <c r="H66" s="2261">
        <f t="shared" si="3"/>
        <v>0</v>
      </c>
      <c r="I66" s="2238"/>
    </row>
    <row r="67" spans="1:9">
      <c r="A67" s="2239"/>
      <c r="B67" s="2252" t="s">
        <v>474</v>
      </c>
      <c r="C67" s="2253"/>
      <c r="D67" s="2258"/>
      <c r="E67" s="2255">
        <f>'טופס 2'!N48</f>
        <v>0</v>
      </c>
      <c r="F67" s="2255">
        <f>'טופס 2'!P48</f>
        <v>0</v>
      </c>
      <c r="G67" s="2255">
        <f t="shared" si="2"/>
        <v>0</v>
      </c>
      <c r="H67" s="2261">
        <f t="shared" si="3"/>
        <v>0</v>
      </c>
      <c r="I67" s="2238"/>
    </row>
    <row r="68" spans="1:9">
      <c r="A68" s="2239"/>
      <c r="B68" s="2252" t="s">
        <v>1183</v>
      </c>
      <c r="C68" s="2253"/>
      <c r="D68" s="2258"/>
      <c r="E68" s="2255">
        <f>'טופס 2'!N49</f>
        <v>11610</v>
      </c>
      <c r="F68" s="2255">
        <f>'טופס 2'!P49</f>
        <v>11117</v>
      </c>
      <c r="G68" s="2255">
        <f t="shared" si="2"/>
        <v>-493</v>
      </c>
      <c r="H68" s="2261">
        <f t="shared" si="3"/>
        <v>-4.2463393626184322E-2</v>
      </c>
      <c r="I68" s="2238"/>
    </row>
    <row r="69" spans="1:9">
      <c r="A69" s="2239"/>
      <c r="B69" s="2252" t="s">
        <v>477</v>
      </c>
      <c r="C69" s="2253"/>
      <c r="D69" s="2258"/>
      <c r="E69" s="2255">
        <f>'טופס 2'!N50</f>
        <v>0</v>
      </c>
      <c r="F69" s="2255">
        <f>'טופס 2'!P50</f>
        <v>0</v>
      </c>
      <c r="G69" s="2255">
        <f t="shared" si="2"/>
        <v>0</v>
      </c>
      <c r="H69" s="2261">
        <f t="shared" si="3"/>
        <v>0</v>
      </c>
      <c r="I69" s="2238"/>
    </row>
    <row r="70" spans="1:9">
      <c r="A70" s="2239"/>
      <c r="B70" s="3644" t="s">
        <v>1184</v>
      </c>
      <c r="C70" s="3645"/>
      <c r="D70" s="2267"/>
      <c r="E70" s="2255">
        <f>'טופס 2'!$N$53</f>
        <v>96869</v>
      </c>
      <c r="F70" s="2255">
        <f>'טופס 2'!$P$53</f>
        <v>131404</v>
      </c>
      <c r="G70" s="2255">
        <f t="shared" si="2"/>
        <v>34535</v>
      </c>
      <c r="H70" s="2261">
        <f t="shared" si="3"/>
        <v>0.35651240334885259</v>
      </c>
      <c r="I70" s="2238"/>
    </row>
    <row r="71" spans="1:9">
      <c r="A71" s="2239"/>
      <c r="B71" s="2268"/>
      <c r="C71" s="2269"/>
      <c r="D71" s="2269"/>
      <c r="E71" s="2269"/>
      <c r="F71" s="2269"/>
      <c r="G71" s="2269"/>
      <c r="H71" s="2270"/>
      <c r="I71" s="2238"/>
    </row>
    <row r="72" spans="1:9" ht="13.8" thickBot="1">
      <c r="A72" s="2271"/>
      <c r="B72" s="2271"/>
      <c r="C72" s="2271"/>
      <c r="D72" s="2271"/>
      <c r="E72" s="2271"/>
      <c r="F72" s="2271"/>
      <c r="G72" s="2271"/>
      <c r="H72" s="2271"/>
      <c r="I72" s="2272"/>
    </row>
    <row r="73" spans="1:9" ht="13.8" thickTop="1"/>
    <row r="198" spans="2:8" ht="15.6">
      <c r="B198" s="3643" t="str">
        <f>E1</f>
        <v>עירית הרצליה</v>
      </c>
      <c r="C198" s="3643"/>
      <c r="D198" s="3643"/>
      <c r="E198" s="3643"/>
      <c r="F198" s="3643"/>
      <c r="G198" s="3643"/>
      <c r="H198" s="3643"/>
    </row>
    <row r="199" spans="2:8" ht="15.6">
      <c r="B199" s="3643" t="str">
        <f>D2</f>
        <v>השוואת התקציב בשנת 2015 לעומת הביצוע בשנת 2015</v>
      </c>
      <c r="C199" s="3643"/>
      <c r="D199" s="3643"/>
      <c r="E199" s="3643"/>
      <c r="F199" s="3643"/>
      <c r="G199" s="3643"/>
      <c r="H199" s="3643"/>
    </row>
    <row r="202" spans="2:8">
      <c r="B202" s="811">
        <f t="shared" ref="B202:H202" si="4">B6</f>
        <v>0</v>
      </c>
      <c r="C202" s="811">
        <f t="shared" si="4"/>
        <v>0</v>
      </c>
      <c r="D202" s="2274">
        <f t="shared" si="4"/>
        <v>0</v>
      </c>
      <c r="E202" s="2274" t="str">
        <f t="shared" si="4"/>
        <v>תקציב 2015</v>
      </c>
      <c r="F202" s="2274" t="str">
        <f t="shared" si="4"/>
        <v>ביצוע 2015</v>
      </c>
      <c r="G202" s="2274" t="str">
        <f t="shared" si="4"/>
        <v>הפרש</v>
      </c>
      <c r="H202" s="2274" t="str">
        <f t="shared" si="4"/>
        <v>סטיה</v>
      </c>
    </row>
    <row r="203" spans="2:8">
      <c r="B203" s="811">
        <f>B7</f>
        <v>0</v>
      </c>
      <c r="C203" s="811">
        <f>C7</f>
        <v>0</v>
      </c>
      <c r="D203" s="1518"/>
      <c r="E203" s="1518">
        <f t="shared" ref="E203:H204" si="5">E7</f>
        <v>0</v>
      </c>
      <c r="F203" s="1518" t="str">
        <f t="shared" si="5"/>
        <v>אלפי ש"ח</v>
      </c>
      <c r="G203" s="1518">
        <f t="shared" si="5"/>
        <v>0</v>
      </c>
      <c r="H203" s="1518" t="str">
        <f t="shared" si="5"/>
        <v>%</v>
      </c>
    </row>
    <row r="204" spans="2:8">
      <c r="B204" s="2275" t="str">
        <f>B8</f>
        <v>תקבולים:</v>
      </c>
      <c r="C204" s="811">
        <f>C8</f>
        <v>0</v>
      </c>
      <c r="D204" s="811"/>
      <c r="E204" s="811">
        <f t="shared" si="5"/>
        <v>0</v>
      </c>
      <c r="F204" s="811">
        <f t="shared" si="5"/>
        <v>0</v>
      </c>
      <c r="G204" s="811">
        <f t="shared" si="5"/>
        <v>0</v>
      </c>
      <c r="H204" s="811">
        <f t="shared" si="5"/>
        <v>0</v>
      </c>
    </row>
    <row r="205" spans="2:8">
      <c r="B205" s="326">
        <f t="shared" ref="B205:C205" si="6">IF(AND(ABS($H9)&gt;=$K$8,ABS($G9)&gt;=$L$8),B9,0)</f>
        <v>0</v>
      </c>
      <c r="C205" s="326">
        <f t="shared" si="6"/>
        <v>0</v>
      </c>
      <c r="D205" s="811"/>
      <c r="E205" s="326">
        <f t="shared" ref="E205:H224" si="7">IF(AND(ABS($H9)&gt;=$K$8,ABS($G9)&gt;=$L$8),E9,0)</f>
        <v>0</v>
      </c>
      <c r="F205" s="2276">
        <f t="shared" si="7"/>
        <v>0</v>
      </c>
      <c r="G205" s="2276">
        <f t="shared" si="7"/>
        <v>0</v>
      </c>
      <c r="H205" s="2277">
        <f t="shared" si="7"/>
        <v>0</v>
      </c>
    </row>
    <row r="206" spans="2:8">
      <c r="B206" s="326">
        <f t="shared" ref="B206:C206" si="8">IF(AND(ABS($H10)&gt;=$K$8,ABS($G10)&gt;=$L$8),B10,0)</f>
        <v>0</v>
      </c>
      <c r="C206" s="326">
        <f t="shared" si="8"/>
        <v>0</v>
      </c>
      <c r="D206" s="811"/>
      <c r="E206" s="326">
        <f t="shared" si="7"/>
        <v>0</v>
      </c>
      <c r="F206" s="2276">
        <f t="shared" si="7"/>
        <v>0</v>
      </c>
      <c r="G206" s="2276">
        <f t="shared" si="7"/>
        <v>0</v>
      </c>
      <c r="H206" s="2277">
        <f t="shared" si="7"/>
        <v>0</v>
      </c>
    </row>
    <row r="207" spans="2:8">
      <c r="B207" s="326">
        <f t="shared" ref="B207:C207" si="9">IF(AND(ABS($H11)&gt;=$K$8,ABS($G11)&gt;=$L$8),B11,0)</f>
        <v>0</v>
      </c>
      <c r="C207" s="326">
        <f t="shared" si="9"/>
        <v>0</v>
      </c>
      <c r="D207" s="811"/>
      <c r="E207" s="326">
        <f t="shared" si="7"/>
        <v>0</v>
      </c>
      <c r="F207" s="2276">
        <f t="shared" si="7"/>
        <v>0</v>
      </c>
      <c r="G207" s="2276">
        <f t="shared" si="7"/>
        <v>0</v>
      </c>
      <c r="H207" s="2277">
        <f t="shared" si="7"/>
        <v>0</v>
      </c>
    </row>
    <row r="208" spans="2:8">
      <c r="B208" s="326">
        <f t="shared" ref="B208:C208" si="10">IF(AND(ABS($H12)&gt;=$K$8,ABS($G12)&gt;=$L$8),B12,0)</f>
        <v>0</v>
      </c>
      <c r="C208" s="326">
        <f t="shared" si="10"/>
        <v>0</v>
      </c>
      <c r="D208" s="811"/>
      <c r="E208" s="326">
        <f t="shared" si="7"/>
        <v>0</v>
      </c>
      <c r="F208" s="2276">
        <f t="shared" si="7"/>
        <v>0</v>
      </c>
      <c r="G208" s="2276">
        <f t="shared" si="7"/>
        <v>0</v>
      </c>
      <c r="H208" s="2277">
        <f t="shared" si="7"/>
        <v>0</v>
      </c>
    </row>
    <row r="209" spans="2:8">
      <c r="B209" s="326">
        <f t="shared" ref="B209:C209" si="11">IF(AND(ABS($H13)&gt;=$K$8,ABS($G13)&gt;=$L$8),B13,0)</f>
        <v>0</v>
      </c>
      <c r="C209" s="326">
        <f t="shared" si="11"/>
        <v>0</v>
      </c>
      <c r="D209" s="811"/>
      <c r="E209" s="326">
        <f t="shared" si="7"/>
        <v>0</v>
      </c>
      <c r="F209" s="2276">
        <f t="shared" si="7"/>
        <v>0</v>
      </c>
      <c r="G209" s="2276">
        <f t="shared" si="7"/>
        <v>0</v>
      </c>
      <c r="H209" s="2277">
        <f t="shared" si="7"/>
        <v>0</v>
      </c>
    </row>
    <row r="210" spans="2:8">
      <c r="B210" s="326">
        <f t="shared" ref="B210:C210" si="12">IF(AND(ABS($H14)&gt;=$K$8,ABS($G14)&gt;=$L$8),B14,0)</f>
        <v>0</v>
      </c>
      <c r="C210" s="326">
        <f t="shared" si="12"/>
        <v>0</v>
      </c>
      <c r="D210" s="811"/>
      <c r="E210" s="326">
        <f t="shared" si="7"/>
        <v>0</v>
      </c>
      <c r="F210" s="2276">
        <f t="shared" si="7"/>
        <v>0</v>
      </c>
      <c r="G210" s="2276">
        <f t="shared" si="7"/>
        <v>0</v>
      </c>
      <c r="H210" s="2277">
        <f t="shared" si="7"/>
        <v>0</v>
      </c>
    </row>
    <row r="211" spans="2:8">
      <c r="B211" s="326">
        <f t="shared" ref="B211:C211" si="13">IF(AND(ABS($H15)&gt;=$K$8,ABS($G15)&gt;=$L$8),B15,0)</f>
        <v>0</v>
      </c>
      <c r="C211" s="326">
        <f t="shared" si="13"/>
        <v>0</v>
      </c>
      <c r="D211" s="811"/>
      <c r="E211" s="326">
        <f t="shared" si="7"/>
        <v>0</v>
      </c>
      <c r="F211" s="2276">
        <f t="shared" si="7"/>
        <v>0</v>
      </c>
      <c r="G211" s="2276">
        <f t="shared" si="7"/>
        <v>0</v>
      </c>
      <c r="H211" s="2277">
        <f t="shared" si="7"/>
        <v>0</v>
      </c>
    </row>
    <row r="212" spans="2:8">
      <c r="B212" s="326" t="str">
        <f t="shared" ref="B212:C212" si="14">IF(AND(ABS($H16)&gt;=$K$8,ABS($G16)&gt;=$L$8),B16,0)</f>
        <v>21 תברואה</v>
      </c>
      <c r="C212" s="326">
        <f t="shared" si="14"/>
        <v>0</v>
      </c>
      <c r="D212" s="811"/>
      <c r="E212" s="326">
        <f t="shared" si="7"/>
        <v>5718</v>
      </c>
      <c r="F212" s="2276">
        <f t="shared" si="7"/>
        <v>3497</v>
      </c>
      <c r="G212" s="2276">
        <f t="shared" si="7"/>
        <v>-2221</v>
      </c>
      <c r="H212" s="2277">
        <f t="shared" si="7"/>
        <v>-0.38842252535851696</v>
      </c>
    </row>
    <row r="213" spans="2:8">
      <c r="B213" s="326">
        <f t="shared" ref="B213:C213" si="15">IF(AND(ABS($H17)&gt;=$K$8,ABS($G17)&gt;=$L$8),B17,0)</f>
        <v>0</v>
      </c>
      <c r="C213" s="326">
        <f t="shared" si="15"/>
        <v>0</v>
      </c>
      <c r="D213" s="811"/>
      <c r="E213" s="326">
        <f t="shared" si="7"/>
        <v>0</v>
      </c>
      <c r="F213" s="2276">
        <f t="shared" si="7"/>
        <v>0</v>
      </c>
      <c r="G213" s="2276">
        <f t="shared" si="7"/>
        <v>0</v>
      </c>
      <c r="H213" s="2277">
        <f t="shared" si="7"/>
        <v>0</v>
      </c>
    </row>
    <row r="214" spans="2:8">
      <c r="B214" s="326">
        <f t="shared" ref="B214:C214" si="16">IF(AND(ABS($H18)&gt;=$K$8,ABS($G18)&gt;=$L$8),B18,0)</f>
        <v>0</v>
      </c>
      <c r="C214" s="326">
        <f t="shared" si="16"/>
        <v>0</v>
      </c>
      <c r="D214" s="811"/>
      <c r="E214" s="326">
        <f t="shared" si="7"/>
        <v>0</v>
      </c>
      <c r="F214" s="2276">
        <f t="shared" si="7"/>
        <v>0</v>
      </c>
      <c r="G214" s="2276">
        <f t="shared" si="7"/>
        <v>0</v>
      </c>
      <c r="H214" s="2277">
        <f t="shared" si="7"/>
        <v>0</v>
      </c>
    </row>
    <row r="215" spans="2:8">
      <c r="B215" s="326" t="str">
        <f t="shared" ref="B215:C215" si="17">IF(AND(ABS($H19)&gt;=$K$8,ABS($G19)&gt;=$L$8),B19,0)</f>
        <v>24 נכסים ציבוריים</v>
      </c>
      <c r="C215" s="326">
        <f t="shared" si="17"/>
        <v>0</v>
      </c>
      <c r="D215" s="811"/>
      <c r="E215" s="326">
        <f t="shared" si="7"/>
        <v>2315</v>
      </c>
      <c r="F215" s="2276">
        <f t="shared" si="7"/>
        <v>1295</v>
      </c>
      <c r="G215" s="2276">
        <f t="shared" si="7"/>
        <v>-1020</v>
      </c>
      <c r="H215" s="2277">
        <f t="shared" si="7"/>
        <v>-0.44060475161987039</v>
      </c>
    </row>
    <row r="216" spans="2:8">
      <c r="B216" s="326">
        <f t="shared" ref="B216:C216" si="18">IF(AND(ABS($H20)&gt;=$K$8,ABS($G20)&gt;=$L$8),B20,0)</f>
        <v>0</v>
      </c>
      <c r="C216" s="326">
        <f t="shared" si="18"/>
        <v>0</v>
      </c>
      <c r="D216" s="811"/>
      <c r="E216" s="326">
        <f t="shared" si="7"/>
        <v>0</v>
      </c>
      <c r="F216" s="2276">
        <f t="shared" si="7"/>
        <v>0</v>
      </c>
      <c r="G216" s="2276">
        <f t="shared" si="7"/>
        <v>0</v>
      </c>
      <c r="H216" s="2277">
        <f t="shared" si="7"/>
        <v>0</v>
      </c>
    </row>
    <row r="217" spans="2:8">
      <c r="B217" s="326">
        <f t="shared" ref="B217:C217" si="19">IF(AND(ABS($H21)&gt;=$K$8,ABS($G21)&gt;=$L$8),B21,0)</f>
        <v>0</v>
      </c>
      <c r="C217" s="326">
        <f t="shared" si="19"/>
        <v>0</v>
      </c>
      <c r="D217" s="811"/>
      <c r="E217" s="326">
        <f t="shared" si="7"/>
        <v>0</v>
      </c>
      <c r="F217" s="2276">
        <f t="shared" si="7"/>
        <v>0</v>
      </c>
      <c r="G217" s="2276">
        <f t="shared" si="7"/>
        <v>0</v>
      </c>
      <c r="H217" s="2277">
        <f t="shared" si="7"/>
        <v>0</v>
      </c>
    </row>
    <row r="218" spans="2:8">
      <c r="B218" s="326">
        <f t="shared" ref="B218:C218" si="20">IF(AND(ABS($H22)&gt;=$K$8,ABS($G22)&gt;=$L$8),B22,0)</f>
        <v>0</v>
      </c>
      <c r="C218" s="326">
        <f t="shared" si="20"/>
        <v>0</v>
      </c>
      <c r="D218" s="811"/>
      <c r="E218" s="326">
        <f t="shared" si="7"/>
        <v>0</v>
      </c>
      <c r="F218" s="2276">
        <f t="shared" si="7"/>
        <v>0</v>
      </c>
      <c r="G218" s="2276">
        <f t="shared" si="7"/>
        <v>0</v>
      </c>
      <c r="H218" s="2277">
        <f t="shared" si="7"/>
        <v>0</v>
      </c>
    </row>
    <row r="219" spans="2:8">
      <c r="B219" s="326" t="str">
        <f t="shared" ref="B219:C219" si="21">IF(AND(ABS($H23)&gt;=$K$8,ABS($G23)&gt;=$L$8),B23,0)</f>
        <v>28 פיקוח עירוני</v>
      </c>
      <c r="C219" s="326">
        <f t="shared" si="21"/>
        <v>0</v>
      </c>
      <c r="D219" s="811"/>
      <c r="E219" s="326">
        <f t="shared" si="7"/>
        <v>1700</v>
      </c>
      <c r="F219" s="2276">
        <f t="shared" si="7"/>
        <v>1103</v>
      </c>
      <c r="G219" s="2276">
        <f t="shared" si="7"/>
        <v>-597</v>
      </c>
      <c r="H219" s="2277">
        <f t="shared" si="7"/>
        <v>-0.35117647058823531</v>
      </c>
    </row>
    <row r="220" spans="2:8">
      <c r="B220" s="326">
        <f t="shared" ref="B220:C220" si="22">IF(AND(ABS($H24)&gt;=$K$8,ABS($G24)&gt;=$L$8),B24,0)</f>
        <v>0</v>
      </c>
      <c r="C220" s="326">
        <f t="shared" si="22"/>
        <v>0</v>
      </c>
      <c r="D220" s="811"/>
      <c r="E220" s="326">
        <f t="shared" si="7"/>
        <v>0</v>
      </c>
      <c r="F220" s="2276">
        <f t="shared" si="7"/>
        <v>0</v>
      </c>
      <c r="G220" s="2276">
        <f t="shared" si="7"/>
        <v>0</v>
      </c>
      <c r="H220" s="2277">
        <f t="shared" si="7"/>
        <v>0</v>
      </c>
    </row>
    <row r="221" spans="2:8">
      <c r="B221" s="326">
        <f t="shared" ref="B221:C221" si="23">IF(AND(ABS($H25)&gt;=$K$8,ABS($G25)&gt;=$L$8),B25,0)</f>
        <v>0</v>
      </c>
      <c r="C221" s="326">
        <f t="shared" si="23"/>
        <v>0</v>
      </c>
      <c r="D221" s="811"/>
      <c r="E221" s="326">
        <f t="shared" si="7"/>
        <v>0</v>
      </c>
      <c r="F221" s="2276">
        <f t="shared" si="7"/>
        <v>0</v>
      </c>
      <c r="G221" s="2276">
        <f t="shared" si="7"/>
        <v>0</v>
      </c>
      <c r="H221" s="2277">
        <f t="shared" si="7"/>
        <v>0</v>
      </c>
    </row>
    <row r="222" spans="2:8">
      <c r="B222" s="326">
        <f t="shared" ref="B222:C222" si="24">IF(AND(ABS($H26)&gt;=$K$8,ABS($G26)&gt;=$L$8),B26,0)</f>
        <v>0</v>
      </c>
      <c r="C222" s="326">
        <f t="shared" si="24"/>
        <v>0</v>
      </c>
      <c r="D222" s="811"/>
      <c r="E222" s="326">
        <f t="shared" si="7"/>
        <v>0</v>
      </c>
      <c r="F222" s="2276">
        <f t="shared" si="7"/>
        <v>0</v>
      </c>
      <c r="G222" s="2276">
        <f t="shared" si="7"/>
        <v>0</v>
      </c>
      <c r="H222" s="2277">
        <f t="shared" si="7"/>
        <v>0</v>
      </c>
    </row>
    <row r="223" spans="2:8">
      <c r="B223" s="326">
        <f t="shared" ref="B223:C223" si="25">IF(AND(ABS($H27)&gt;=$K$8,ABS($G27)&gt;=$L$8),B27,0)</f>
        <v>0</v>
      </c>
      <c r="C223" s="326">
        <f t="shared" si="25"/>
        <v>0</v>
      </c>
      <c r="D223" s="811"/>
      <c r="E223" s="326">
        <f t="shared" si="7"/>
        <v>0</v>
      </c>
      <c r="F223" s="2276">
        <f t="shared" si="7"/>
        <v>0</v>
      </c>
      <c r="G223" s="2276">
        <f t="shared" si="7"/>
        <v>0</v>
      </c>
      <c r="H223" s="2277">
        <f t="shared" si="7"/>
        <v>0</v>
      </c>
    </row>
    <row r="224" spans="2:8">
      <c r="B224" s="326">
        <f t="shared" ref="B224:C224" si="26">IF(AND(ABS($H28)&gt;=$K$8,ABS($G28)&gt;=$L$8),B28,0)</f>
        <v>0</v>
      </c>
      <c r="C224" s="326">
        <f t="shared" si="26"/>
        <v>0</v>
      </c>
      <c r="D224" s="811"/>
      <c r="E224" s="326">
        <f t="shared" si="7"/>
        <v>0</v>
      </c>
      <c r="F224" s="2276">
        <f t="shared" si="7"/>
        <v>0</v>
      </c>
      <c r="G224" s="2276">
        <f t="shared" si="7"/>
        <v>0</v>
      </c>
      <c r="H224" s="2277">
        <f t="shared" si="7"/>
        <v>0</v>
      </c>
    </row>
    <row r="225" spans="2:8">
      <c r="B225" s="326">
        <f t="shared" ref="B225:C225" si="27">IF(AND(ABS($H29)&gt;=$K$8,ABS($G29)&gt;=$L$8),B29,0)</f>
        <v>0</v>
      </c>
      <c r="C225" s="326">
        <f t="shared" si="27"/>
        <v>0</v>
      </c>
      <c r="D225" s="811"/>
      <c r="E225" s="326">
        <f t="shared" ref="E225:H244" si="28">IF(AND(ABS($H29)&gt;=$K$8,ABS($G29)&gt;=$L$8),E29,0)</f>
        <v>0</v>
      </c>
      <c r="F225" s="2276">
        <f t="shared" si="28"/>
        <v>0</v>
      </c>
      <c r="G225" s="2276">
        <f t="shared" si="28"/>
        <v>0</v>
      </c>
      <c r="H225" s="2277">
        <f t="shared" si="28"/>
        <v>0</v>
      </c>
    </row>
    <row r="226" spans="2:8">
      <c r="B226" s="326">
        <f t="shared" ref="B226:C226" si="29">IF(AND(ABS($H30)&gt;=$K$8,ABS($G30)&gt;=$L$8),B30,0)</f>
        <v>0</v>
      </c>
      <c r="C226" s="326">
        <f t="shared" si="29"/>
        <v>0</v>
      </c>
      <c r="D226" s="811"/>
      <c r="E226" s="326">
        <f t="shared" si="28"/>
        <v>0</v>
      </c>
      <c r="F226" s="2276">
        <f t="shared" si="28"/>
        <v>0</v>
      </c>
      <c r="G226" s="2276">
        <f t="shared" si="28"/>
        <v>0</v>
      </c>
      <c r="H226" s="2277">
        <f t="shared" si="28"/>
        <v>0</v>
      </c>
    </row>
    <row r="227" spans="2:8">
      <c r="B227" s="326">
        <f t="shared" ref="B227:C227" si="30">IF(AND(ABS($H31)&gt;=$K$8,ABS($G31)&gt;=$L$8),B31,0)</f>
        <v>0</v>
      </c>
      <c r="C227" s="326">
        <f t="shared" si="30"/>
        <v>0</v>
      </c>
      <c r="D227" s="811"/>
      <c r="E227" s="326">
        <f t="shared" si="28"/>
        <v>0</v>
      </c>
      <c r="F227" s="2276">
        <f t="shared" si="28"/>
        <v>0</v>
      </c>
      <c r="G227" s="2276">
        <f t="shared" si="28"/>
        <v>0</v>
      </c>
      <c r="H227" s="2277">
        <f t="shared" si="28"/>
        <v>0</v>
      </c>
    </row>
    <row r="228" spans="2:8">
      <c r="B228" s="326">
        <f t="shared" ref="B228:C228" si="31">IF(AND(ABS($H32)&gt;=$K$8,ABS($G32)&gt;=$L$8),B32,0)</f>
        <v>0</v>
      </c>
      <c r="C228" s="326">
        <f t="shared" si="31"/>
        <v>0</v>
      </c>
      <c r="D228" s="811"/>
      <c r="E228" s="326">
        <f t="shared" si="28"/>
        <v>0</v>
      </c>
      <c r="F228" s="2276">
        <f t="shared" si="28"/>
        <v>0</v>
      </c>
      <c r="G228" s="2276">
        <f t="shared" si="28"/>
        <v>0</v>
      </c>
      <c r="H228" s="2277">
        <f t="shared" si="28"/>
        <v>0</v>
      </c>
    </row>
    <row r="229" spans="2:8">
      <c r="B229" s="326">
        <f t="shared" ref="B229:C229" si="32">IF(AND(ABS($H33)&gt;=$K$8,ABS($G33)&gt;=$L$8),B33,0)</f>
        <v>0</v>
      </c>
      <c r="C229" s="326">
        <f t="shared" si="32"/>
        <v>0</v>
      </c>
      <c r="D229" s="811"/>
      <c r="E229" s="326">
        <f t="shared" si="28"/>
        <v>0</v>
      </c>
      <c r="F229" s="2276">
        <f t="shared" si="28"/>
        <v>0</v>
      </c>
      <c r="G229" s="2276">
        <f t="shared" si="28"/>
        <v>0</v>
      </c>
      <c r="H229" s="2277">
        <f t="shared" si="28"/>
        <v>0</v>
      </c>
    </row>
    <row r="230" spans="2:8">
      <c r="B230" s="326" t="str">
        <f t="shared" ref="B230:C230" si="33">IF(AND(ABS($H34)&gt;=$K$8,ABS($G34)&gt;=$L$8),B34,0)</f>
        <v>43 נכסים</v>
      </c>
      <c r="C230" s="326">
        <f t="shared" si="33"/>
        <v>0</v>
      </c>
      <c r="D230" s="811"/>
      <c r="E230" s="326">
        <f t="shared" si="28"/>
        <v>7590</v>
      </c>
      <c r="F230" s="2276">
        <f t="shared" si="28"/>
        <v>8665</v>
      </c>
      <c r="G230" s="2276">
        <f t="shared" si="28"/>
        <v>1075</v>
      </c>
      <c r="H230" s="2277">
        <f t="shared" si="28"/>
        <v>0.14163372859025034</v>
      </c>
    </row>
    <row r="231" spans="2:8">
      <c r="B231" s="326" t="str">
        <f t="shared" ref="B231:C231" si="34">IF(AND(ABS($H35)&gt;=$K$8,ABS($G35)&gt;=$L$8),B35,0)</f>
        <v>44 תחבורה</v>
      </c>
      <c r="C231" s="326">
        <f t="shared" si="34"/>
        <v>0</v>
      </c>
      <c r="D231" s="811"/>
      <c r="E231" s="326">
        <f t="shared" si="28"/>
        <v>24775</v>
      </c>
      <c r="F231" s="2276">
        <f t="shared" si="28"/>
        <v>30511</v>
      </c>
      <c r="G231" s="2276">
        <f t="shared" si="28"/>
        <v>5736</v>
      </c>
      <c r="H231" s="2277">
        <f t="shared" si="28"/>
        <v>0.23152371342078709</v>
      </c>
    </row>
    <row r="232" spans="2:8">
      <c r="B232" s="326">
        <f t="shared" ref="B232:C232" si="35">IF(AND(ABS($H36)&gt;=$K$8,ABS($G36)&gt;=$L$8),B36,0)</f>
        <v>0</v>
      </c>
      <c r="C232" s="326">
        <f t="shared" si="35"/>
        <v>0</v>
      </c>
      <c r="D232" s="811"/>
      <c r="E232" s="326">
        <f t="shared" si="28"/>
        <v>0</v>
      </c>
      <c r="F232" s="2276">
        <f t="shared" si="28"/>
        <v>0</v>
      </c>
      <c r="G232" s="2276">
        <f t="shared" si="28"/>
        <v>0</v>
      </c>
      <c r="H232" s="2277">
        <f t="shared" si="28"/>
        <v>0</v>
      </c>
    </row>
    <row r="233" spans="2:8">
      <c r="B233" s="326">
        <f t="shared" ref="B233:C233" si="36">IF(AND(ABS($H37)&gt;=$K$8,ABS($G37)&gt;=$L$8),B37,0)</f>
        <v>0</v>
      </c>
      <c r="C233" s="326">
        <f t="shared" si="36"/>
        <v>0</v>
      </c>
      <c r="D233" s="811"/>
      <c r="E233" s="326">
        <f t="shared" si="28"/>
        <v>0</v>
      </c>
      <c r="F233" s="2276">
        <f t="shared" si="28"/>
        <v>0</v>
      </c>
      <c r="G233" s="2276">
        <f t="shared" si="28"/>
        <v>0</v>
      </c>
      <c r="H233" s="2277">
        <f t="shared" si="28"/>
        <v>0</v>
      </c>
    </row>
    <row r="234" spans="2:8">
      <c r="B234" s="326" t="str">
        <f t="shared" ref="B234:C234" si="37">IF(AND(ABS($H38)&gt;=$K$8,ABS($G38)&gt;=$L$8),B38,0)</f>
        <v>47 מפעל הביוב</v>
      </c>
      <c r="C234" s="326">
        <f t="shared" si="37"/>
        <v>0</v>
      </c>
      <c r="D234" s="811"/>
      <c r="E234" s="326">
        <f t="shared" si="28"/>
        <v>11610</v>
      </c>
      <c r="F234" s="2276">
        <f t="shared" si="28"/>
        <v>10067</v>
      </c>
      <c r="G234" s="2276">
        <f t="shared" si="28"/>
        <v>-1543</v>
      </c>
      <c r="H234" s="2277">
        <f t="shared" si="28"/>
        <v>-0.13290267011197243</v>
      </c>
    </row>
    <row r="235" spans="2:8">
      <c r="B235" s="326">
        <f t="shared" ref="B235:C236" si="38">IF(AND(ABS($H39)&gt;=$K$8,ABS($G39)&gt;=$L$8),B39,0)</f>
        <v>0</v>
      </c>
      <c r="C235" s="326">
        <f t="shared" si="38"/>
        <v>0</v>
      </c>
      <c r="D235" s="811"/>
      <c r="E235" s="326">
        <f t="shared" si="28"/>
        <v>0</v>
      </c>
      <c r="F235" s="2276">
        <f t="shared" si="28"/>
        <v>0</v>
      </c>
      <c r="G235" s="2276">
        <f t="shared" si="28"/>
        <v>0</v>
      </c>
      <c r="H235" s="2277">
        <f t="shared" si="28"/>
        <v>0</v>
      </c>
    </row>
    <row r="236" spans="2:8">
      <c r="B236" s="3642" t="str">
        <f t="shared" si="38"/>
        <v>5 תקבולים בלתי רגילים</v>
      </c>
      <c r="C236" s="3642">
        <f t="shared" si="38"/>
        <v>0</v>
      </c>
      <c r="D236" s="811"/>
      <c r="E236" s="326">
        <f t="shared" si="28"/>
        <v>38524</v>
      </c>
      <c r="F236" s="2276">
        <f t="shared" si="28"/>
        <v>33153</v>
      </c>
      <c r="G236" s="2276">
        <f t="shared" si="28"/>
        <v>-5371</v>
      </c>
      <c r="H236" s="2277">
        <f t="shared" si="28"/>
        <v>-0.13941958259786108</v>
      </c>
    </row>
    <row r="237" spans="2:8">
      <c r="B237" s="2275" t="str">
        <f>B41</f>
        <v>תשלומים:</v>
      </c>
      <c r="C237" s="811">
        <f>C41</f>
        <v>0</v>
      </c>
      <c r="D237" s="811"/>
      <c r="E237" s="326">
        <f t="shared" si="28"/>
        <v>0</v>
      </c>
      <c r="F237" s="2276">
        <f t="shared" si="28"/>
        <v>0</v>
      </c>
      <c r="G237" s="2276">
        <f t="shared" si="28"/>
        <v>0</v>
      </c>
      <c r="H237" s="2277">
        <f t="shared" si="28"/>
        <v>0</v>
      </c>
    </row>
    <row r="238" spans="2:8">
      <c r="B238" s="326">
        <f t="shared" ref="B238:C238" si="39">IF(AND(ABS($H42)&gt;=$K$8,ABS($G42)&gt;=$L$8),B42,0)</f>
        <v>0</v>
      </c>
      <c r="C238" s="326">
        <f t="shared" si="39"/>
        <v>0</v>
      </c>
      <c r="D238" s="811"/>
      <c r="E238" s="326">
        <f t="shared" si="28"/>
        <v>0</v>
      </c>
      <c r="F238" s="2276">
        <f t="shared" si="28"/>
        <v>0</v>
      </c>
      <c r="G238" s="2276">
        <f t="shared" si="28"/>
        <v>0</v>
      </c>
      <c r="H238" s="2277">
        <f t="shared" si="28"/>
        <v>0</v>
      </c>
    </row>
    <row r="239" spans="2:8">
      <c r="B239" s="326" t="str">
        <f t="shared" ref="B239:C239" si="40">IF(AND(ABS($H43)&gt;=$K$8,ABS($G43)&gt;=$L$8),B43,0)</f>
        <v>62 מנהל כספי</v>
      </c>
      <c r="C239" s="326">
        <f t="shared" si="40"/>
        <v>0</v>
      </c>
      <c r="D239" s="811"/>
      <c r="E239" s="326">
        <f t="shared" si="28"/>
        <v>18995</v>
      </c>
      <c r="F239" s="2276">
        <f t="shared" si="28"/>
        <v>16742</v>
      </c>
      <c r="G239" s="2276">
        <f t="shared" si="28"/>
        <v>-2253</v>
      </c>
      <c r="H239" s="2277">
        <f t="shared" si="28"/>
        <v>-0.11861016056857068</v>
      </c>
    </row>
    <row r="240" spans="2:8">
      <c r="B240" s="326">
        <f t="shared" ref="B240:C240" si="41">IF(AND(ABS($H44)&gt;=$K$8,ABS($G44)&gt;=$L$8),B44,0)</f>
        <v>0</v>
      </c>
      <c r="C240" s="326">
        <f t="shared" si="41"/>
        <v>0</v>
      </c>
      <c r="D240" s="811"/>
      <c r="E240" s="326">
        <f t="shared" si="28"/>
        <v>0</v>
      </c>
      <c r="F240" s="2276">
        <f t="shared" si="28"/>
        <v>0</v>
      </c>
      <c r="G240" s="2276">
        <f t="shared" si="28"/>
        <v>0</v>
      </c>
      <c r="H240" s="2277">
        <f t="shared" si="28"/>
        <v>0</v>
      </c>
    </row>
    <row r="241" spans="2:8">
      <c r="B241" s="326">
        <f t="shared" ref="B241:C241" si="42">IF(AND(ABS($H45)&gt;=$K$8,ABS($G45)&gt;=$L$8),B45,0)</f>
        <v>0</v>
      </c>
      <c r="C241" s="326">
        <f t="shared" si="42"/>
        <v>0</v>
      </c>
      <c r="D241" s="811"/>
      <c r="E241" s="326">
        <f t="shared" si="28"/>
        <v>0</v>
      </c>
      <c r="F241" s="2276">
        <f t="shared" si="28"/>
        <v>0</v>
      </c>
      <c r="G241" s="2276">
        <f t="shared" si="28"/>
        <v>0</v>
      </c>
      <c r="H241" s="2277">
        <f t="shared" si="28"/>
        <v>0</v>
      </c>
    </row>
    <row r="242" spans="2:8">
      <c r="B242" s="326">
        <f t="shared" ref="B242:C242" si="43">IF(AND(ABS($H46)&gt;=$K$8,ABS($G46)&gt;=$L$8),B46,0)</f>
        <v>0</v>
      </c>
      <c r="C242" s="326">
        <f t="shared" si="43"/>
        <v>0</v>
      </c>
      <c r="D242" s="811"/>
      <c r="E242" s="326">
        <f t="shared" si="28"/>
        <v>0</v>
      </c>
      <c r="F242" s="2276">
        <f t="shared" si="28"/>
        <v>0</v>
      </c>
      <c r="G242" s="2276">
        <f t="shared" si="28"/>
        <v>0</v>
      </c>
      <c r="H242" s="2277">
        <f t="shared" si="28"/>
        <v>0</v>
      </c>
    </row>
    <row r="243" spans="2:8">
      <c r="B243" s="326">
        <f t="shared" ref="B243:C243" si="44">IF(AND(ABS($H47)&gt;=$K$8,ABS($G47)&gt;=$L$8),B47,0)</f>
        <v>0</v>
      </c>
      <c r="C243" s="326">
        <f t="shared" si="44"/>
        <v>0</v>
      </c>
      <c r="D243" s="811"/>
      <c r="E243" s="326">
        <f t="shared" si="28"/>
        <v>0</v>
      </c>
      <c r="F243" s="2276">
        <f t="shared" si="28"/>
        <v>0</v>
      </c>
      <c r="G243" s="2276">
        <f t="shared" si="28"/>
        <v>0</v>
      </c>
      <c r="H243" s="2277">
        <f t="shared" si="28"/>
        <v>0</v>
      </c>
    </row>
    <row r="244" spans="2:8">
      <c r="B244" s="326">
        <f t="shared" ref="B244:C244" si="45">IF(AND(ABS($H48)&gt;=$K$8,ABS($G48)&gt;=$L$8),B48,0)</f>
        <v>0</v>
      </c>
      <c r="C244" s="326">
        <f t="shared" si="45"/>
        <v>0</v>
      </c>
      <c r="D244" s="811"/>
      <c r="E244" s="326">
        <f t="shared" si="28"/>
        <v>0</v>
      </c>
      <c r="F244" s="2276">
        <f t="shared" si="28"/>
        <v>0</v>
      </c>
      <c r="G244" s="2276">
        <f t="shared" si="28"/>
        <v>0</v>
      </c>
      <c r="H244" s="2277">
        <f t="shared" si="28"/>
        <v>0</v>
      </c>
    </row>
    <row r="245" spans="2:8">
      <c r="B245" s="326">
        <f t="shared" ref="B245:C245" si="46">IF(AND(ABS($H49)&gt;=$K$8,ABS($G49)&gt;=$L$8),B49,0)</f>
        <v>0</v>
      </c>
      <c r="C245" s="326">
        <f t="shared" si="46"/>
        <v>0</v>
      </c>
      <c r="D245" s="811"/>
      <c r="E245" s="326">
        <f t="shared" ref="E245:H264" si="47">IF(AND(ABS($H49)&gt;=$K$8,ABS($G49)&gt;=$L$8),E49,0)</f>
        <v>0</v>
      </c>
      <c r="F245" s="2276">
        <f t="shared" si="47"/>
        <v>0</v>
      </c>
      <c r="G245" s="2276">
        <f t="shared" si="47"/>
        <v>0</v>
      </c>
      <c r="H245" s="2277">
        <f t="shared" si="47"/>
        <v>0</v>
      </c>
    </row>
    <row r="246" spans="2:8">
      <c r="B246" s="326">
        <f t="shared" ref="B246:C246" si="48">IF(AND(ABS($H50)&gt;=$K$8,ABS($G50)&gt;=$L$8),B50,0)</f>
        <v>0</v>
      </c>
      <c r="C246" s="326">
        <f t="shared" si="48"/>
        <v>0</v>
      </c>
      <c r="D246" s="811"/>
      <c r="E246" s="326">
        <f t="shared" si="47"/>
        <v>0</v>
      </c>
      <c r="F246" s="2276">
        <f t="shared" si="47"/>
        <v>0</v>
      </c>
      <c r="G246" s="2276">
        <f t="shared" si="47"/>
        <v>0</v>
      </c>
      <c r="H246" s="2277">
        <f t="shared" si="47"/>
        <v>0</v>
      </c>
    </row>
    <row r="247" spans="2:8">
      <c r="B247" s="326">
        <f t="shared" ref="B247:C247" si="49">IF(AND(ABS($H51)&gt;=$K$8,ABS($G51)&gt;=$L$8),B51,0)</f>
        <v>0</v>
      </c>
      <c r="C247" s="326">
        <f t="shared" si="49"/>
        <v>0</v>
      </c>
      <c r="D247" s="811"/>
      <c r="E247" s="326">
        <f t="shared" si="47"/>
        <v>0</v>
      </c>
      <c r="F247" s="2276">
        <f t="shared" si="47"/>
        <v>0</v>
      </c>
      <c r="G247" s="2276">
        <f t="shared" si="47"/>
        <v>0</v>
      </c>
      <c r="H247" s="2277">
        <f t="shared" si="47"/>
        <v>0</v>
      </c>
    </row>
    <row r="248" spans="2:8">
      <c r="B248" s="326">
        <f t="shared" ref="B248:C248" si="50">IF(AND(ABS($H52)&gt;=$K$8,ABS($G52)&gt;=$L$8),B52,0)</f>
        <v>0</v>
      </c>
      <c r="C248" s="326">
        <f t="shared" si="50"/>
        <v>0</v>
      </c>
      <c r="D248" s="811"/>
      <c r="E248" s="326">
        <f t="shared" si="47"/>
        <v>0</v>
      </c>
      <c r="F248" s="2276">
        <f t="shared" si="47"/>
        <v>0</v>
      </c>
      <c r="G248" s="2276">
        <f t="shared" si="47"/>
        <v>0</v>
      </c>
      <c r="H248" s="2277">
        <f t="shared" si="47"/>
        <v>0</v>
      </c>
    </row>
    <row r="249" spans="2:8">
      <c r="B249" s="326" t="str">
        <f t="shared" ref="B249:C249" si="51">IF(AND(ABS($H53)&gt;=$K$8,ABS($G53)&gt;=$L$8),B53,0)</f>
        <v>78 פיקוח עירוני</v>
      </c>
      <c r="C249" s="326">
        <f t="shared" si="51"/>
        <v>0</v>
      </c>
      <c r="D249" s="811"/>
      <c r="E249" s="326">
        <f t="shared" si="47"/>
        <v>8871</v>
      </c>
      <c r="F249" s="2276">
        <f t="shared" si="47"/>
        <v>7474</v>
      </c>
      <c r="G249" s="2276">
        <f t="shared" si="47"/>
        <v>-1397</v>
      </c>
      <c r="H249" s="2277">
        <f t="shared" si="47"/>
        <v>-0.15747942734753692</v>
      </c>
    </row>
    <row r="250" spans="2:8">
      <c r="B250" s="326">
        <f t="shared" ref="B250:C250" si="52">IF(AND(ABS($H54)&gt;=$K$8,ABS($G54)&gt;=$L$8),B54,0)</f>
        <v>0</v>
      </c>
      <c r="C250" s="326">
        <f t="shared" si="52"/>
        <v>0</v>
      </c>
      <c r="D250" s="811"/>
      <c r="E250" s="326">
        <f t="shared" si="47"/>
        <v>0</v>
      </c>
      <c r="F250" s="2276">
        <f t="shared" si="47"/>
        <v>0</v>
      </c>
      <c r="G250" s="2276">
        <f t="shared" si="47"/>
        <v>0</v>
      </c>
      <c r="H250" s="2277">
        <f t="shared" si="47"/>
        <v>0</v>
      </c>
    </row>
    <row r="251" spans="2:8">
      <c r="B251" s="326">
        <f t="shared" ref="B251:C251" si="53">IF(AND(ABS($H55)&gt;=$K$8,ABS($G55)&gt;=$L$8),B55,0)</f>
        <v>0</v>
      </c>
      <c r="C251" s="326">
        <f t="shared" si="53"/>
        <v>0</v>
      </c>
      <c r="D251" s="811"/>
      <c r="E251" s="326">
        <f t="shared" si="47"/>
        <v>0</v>
      </c>
      <c r="F251" s="2276">
        <f t="shared" si="47"/>
        <v>0</v>
      </c>
      <c r="G251" s="2276">
        <f t="shared" si="47"/>
        <v>0</v>
      </c>
      <c r="H251" s="2277">
        <f t="shared" si="47"/>
        <v>0</v>
      </c>
    </row>
    <row r="252" spans="2:8">
      <c r="B252" s="326">
        <f t="shared" ref="B252:C252" si="54">IF(AND(ABS($H56)&gt;=$K$8,ABS($G56)&gt;=$L$8),B56,0)</f>
        <v>0</v>
      </c>
      <c r="C252" s="326">
        <f t="shared" si="54"/>
        <v>0</v>
      </c>
      <c r="D252" s="811"/>
      <c r="E252" s="326">
        <f t="shared" si="47"/>
        <v>0</v>
      </c>
      <c r="F252" s="2276">
        <f t="shared" si="47"/>
        <v>0</v>
      </c>
      <c r="G252" s="2276">
        <f t="shared" si="47"/>
        <v>0</v>
      </c>
      <c r="H252" s="2277">
        <f t="shared" si="47"/>
        <v>0</v>
      </c>
    </row>
    <row r="253" spans="2:8">
      <c r="B253" s="326">
        <f t="shared" ref="B253:C253" si="55">IF(AND(ABS($H57)&gt;=$K$8,ABS($G57)&gt;=$L$8),B57,0)</f>
        <v>0</v>
      </c>
      <c r="C253" s="326">
        <f t="shared" si="55"/>
        <v>0</v>
      </c>
      <c r="D253" s="811"/>
      <c r="E253" s="326">
        <f t="shared" si="47"/>
        <v>0</v>
      </c>
      <c r="F253" s="2276">
        <f t="shared" si="47"/>
        <v>0</v>
      </c>
      <c r="G253" s="2276">
        <f t="shared" si="47"/>
        <v>0</v>
      </c>
      <c r="H253" s="2277">
        <f t="shared" si="47"/>
        <v>0</v>
      </c>
    </row>
    <row r="254" spans="2:8">
      <c r="B254" s="326">
        <f t="shared" ref="B254:C254" si="56">IF(AND(ABS($H58)&gt;=$K$8,ABS($G58)&gt;=$L$8),B58,0)</f>
        <v>0</v>
      </c>
      <c r="C254" s="326">
        <f t="shared" si="56"/>
        <v>0</v>
      </c>
      <c r="D254" s="811"/>
      <c r="E254" s="326">
        <f t="shared" si="47"/>
        <v>0</v>
      </c>
      <c r="F254" s="2276">
        <f t="shared" si="47"/>
        <v>0</v>
      </c>
      <c r="G254" s="2276">
        <f t="shared" si="47"/>
        <v>0</v>
      </c>
      <c r="H254" s="2277">
        <f t="shared" si="47"/>
        <v>0</v>
      </c>
    </row>
    <row r="255" spans="2:8">
      <c r="B255" s="326">
        <f t="shared" ref="B255:C255" si="57">IF(AND(ABS($H59)&gt;=$K$8,ABS($G59)&gt;=$L$8),B59,0)</f>
        <v>0</v>
      </c>
      <c r="C255" s="326">
        <f t="shared" si="57"/>
        <v>0</v>
      </c>
      <c r="D255" s="811"/>
      <c r="E255" s="326">
        <f t="shared" si="47"/>
        <v>0</v>
      </c>
      <c r="F255" s="2276">
        <f t="shared" si="47"/>
        <v>0</v>
      </c>
      <c r="G255" s="2276">
        <f t="shared" si="47"/>
        <v>0</v>
      </c>
      <c r="H255" s="2277">
        <f t="shared" si="47"/>
        <v>0</v>
      </c>
    </row>
    <row r="256" spans="2:8">
      <c r="B256" s="326">
        <f t="shared" ref="B256:C256" si="58">IF(AND(ABS($H60)&gt;=$K$8,ABS($G60)&gt;=$L$8),B60,0)</f>
        <v>0</v>
      </c>
      <c r="C256" s="326">
        <f t="shared" si="58"/>
        <v>0</v>
      </c>
      <c r="D256" s="811"/>
      <c r="E256" s="326">
        <f t="shared" si="47"/>
        <v>0</v>
      </c>
      <c r="F256" s="2276">
        <f t="shared" si="47"/>
        <v>0</v>
      </c>
      <c r="G256" s="2276">
        <f t="shared" si="47"/>
        <v>0</v>
      </c>
      <c r="H256" s="2277">
        <f t="shared" si="47"/>
        <v>0</v>
      </c>
    </row>
    <row r="257" spans="2:8">
      <c r="B257" s="326">
        <f t="shared" ref="B257:C257" si="59">IF(AND(ABS($H61)&gt;=$K$8,ABS($G61)&gt;=$L$8),B61,0)</f>
        <v>0</v>
      </c>
      <c r="C257" s="326">
        <f t="shared" si="59"/>
        <v>0</v>
      </c>
      <c r="D257" s="811"/>
      <c r="E257" s="326">
        <f t="shared" si="47"/>
        <v>0</v>
      </c>
      <c r="F257" s="2276">
        <f t="shared" si="47"/>
        <v>0</v>
      </c>
      <c r="G257" s="2276">
        <f t="shared" si="47"/>
        <v>0</v>
      </c>
      <c r="H257" s="2277">
        <f t="shared" si="47"/>
        <v>0</v>
      </c>
    </row>
    <row r="258" spans="2:8">
      <c r="B258" s="326">
        <f t="shared" ref="B258:C258" si="60">IF(AND(ABS($H62)&gt;=$K$8,ABS($G62)&gt;=$L$8),B62,0)</f>
        <v>0</v>
      </c>
      <c r="C258" s="326">
        <f t="shared" si="60"/>
        <v>0</v>
      </c>
      <c r="D258" s="811"/>
      <c r="E258" s="326">
        <f t="shared" si="47"/>
        <v>0</v>
      </c>
      <c r="F258" s="2276">
        <f t="shared" si="47"/>
        <v>0</v>
      </c>
      <c r="G258" s="2276">
        <f t="shared" si="47"/>
        <v>0</v>
      </c>
      <c r="H258" s="2277">
        <f t="shared" si="47"/>
        <v>0</v>
      </c>
    </row>
    <row r="259" spans="2:8">
      <c r="B259" s="326">
        <f t="shared" ref="B259:C259" si="61">IF(AND(ABS($H63)&gt;=$K$8,ABS($G63)&gt;=$L$8),B63,0)</f>
        <v>0</v>
      </c>
      <c r="C259" s="326">
        <f t="shared" si="61"/>
        <v>0</v>
      </c>
      <c r="D259" s="811"/>
      <c r="E259" s="326">
        <f t="shared" si="47"/>
        <v>0</v>
      </c>
      <c r="F259" s="2276">
        <f t="shared" si="47"/>
        <v>0</v>
      </c>
      <c r="G259" s="2276">
        <f t="shared" si="47"/>
        <v>0</v>
      </c>
      <c r="H259" s="2277">
        <f t="shared" si="47"/>
        <v>0</v>
      </c>
    </row>
    <row r="260" spans="2:8">
      <c r="B260" s="326">
        <f t="shared" ref="B260:C260" si="62">IF(AND(ABS($H64)&gt;=$K$8,ABS($G64)&gt;=$L$8),B64,0)</f>
        <v>0</v>
      </c>
      <c r="C260" s="326">
        <f t="shared" si="62"/>
        <v>0</v>
      </c>
      <c r="D260" s="811"/>
      <c r="E260" s="326">
        <f t="shared" si="47"/>
        <v>0</v>
      </c>
      <c r="F260" s="2276">
        <f t="shared" si="47"/>
        <v>0</v>
      </c>
      <c r="G260" s="2276">
        <f t="shared" si="47"/>
        <v>0</v>
      </c>
      <c r="H260" s="2277">
        <f t="shared" si="47"/>
        <v>0</v>
      </c>
    </row>
    <row r="261" spans="2:8">
      <c r="B261" s="326">
        <f t="shared" ref="B261:C261" si="63">IF(AND(ABS($H65)&gt;=$K$8,ABS($G65)&gt;=$L$8),B65,0)</f>
        <v>0</v>
      </c>
      <c r="C261" s="326">
        <f t="shared" si="63"/>
        <v>0</v>
      </c>
      <c r="D261" s="811"/>
      <c r="E261" s="326">
        <f t="shared" si="47"/>
        <v>0</v>
      </c>
      <c r="F261" s="2276">
        <f t="shared" si="47"/>
        <v>0</v>
      </c>
      <c r="G261" s="2276">
        <f t="shared" si="47"/>
        <v>0</v>
      </c>
      <c r="H261" s="2277">
        <f t="shared" si="47"/>
        <v>0</v>
      </c>
    </row>
    <row r="262" spans="2:8">
      <c r="B262" s="326">
        <f t="shared" ref="B262:C262" si="64">IF(AND(ABS($H66)&gt;=$K$8,ABS($G66)&gt;=$L$8),B66,0)</f>
        <v>0</v>
      </c>
      <c r="C262" s="326">
        <f t="shared" si="64"/>
        <v>0</v>
      </c>
      <c r="D262" s="811"/>
      <c r="E262" s="326">
        <f t="shared" si="47"/>
        <v>0</v>
      </c>
      <c r="F262" s="2276">
        <f t="shared" si="47"/>
        <v>0</v>
      </c>
      <c r="G262" s="2276">
        <f t="shared" si="47"/>
        <v>0</v>
      </c>
      <c r="H262" s="2277">
        <f t="shared" si="47"/>
        <v>0</v>
      </c>
    </row>
    <row r="263" spans="2:8">
      <c r="B263" s="326">
        <f t="shared" ref="B263:C263" si="65">IF(AND(ABS($H67)&gt;=$K$8,ABS($G67)&gt;=$L$8),B67,0)</f>
        <v>0</v>
      </c>
      <c r="C263" s="326">
        <f t="shared" si="65"/>
        <v>0</v>
      </c>
      <c r="D263" s="811"/>
      <c r="E263" s="326">
        <f t="shared" si="47"/>
        <v>0</v>
      </c>
      <c r="F263" s="2276">
        <f t="shared" si="47"/>
        <v>0</v>
      </c>
      <c r="G263" s="2276">
        <f t="shared" si="47"/>
        <v>0</v>
      </c>
      <c r="H263" s="2277">
        <f t="shared" si="47"/>
        <v>0</v>
      </c>
    </row>
    <row r="264" spans="2:8">
      <c r="B264" s="326">
        <f t="shared" ref="B264:C264" si="66">IF(AND(ABS($H68)&gt;=$K$8,ABS($G68)&gt;=$L$8),B68,0)</f>
        <v>0</v>
      </c>
      <c r="C264" s="326">
        <f t="shared" si="66"/>
        <v>0</v>
      </c>
      <c r="D264" s="811"/>
      <c r="E264" s="326">
        <f t="shared" si="47"/>
        <v>0</v>
      </c>
      <c r="F264" s="2276">
        <f t="shared" si="47"/>
        <v>0</v>
      </c>
      <c r="G264" s="2276">
        <f t="shared" si="47"/>
        <v>0</v>
      </c>
      <c r="H264" s="2277">
        <f t="shared" si="47"/>
        <v>0</v>
      </c>
    </row>
    <row r="265" spans="2:8">
      <c r="B265" s="326">
        <f t="shared" ref="B265:C266" si="67">IF(AND(ABS($H69)&gt;=$K$8,ABS($G69)&gt;=$L$8),B69,0)</f>
        <v>0</v>
      </c>
      <c r="C265" s="326">
        <f t="shared" si="67"/>
        <v>0</v>
      </c>
      <c r="D265" s="811"/>
      <c r="E265" s="326">
        <f t="shared" ref="E265:H266" si="68">IF(AND(ABS($H69)&gt;=$K$8,ABS($G69)&gt;=$L$8),E69,0)</f>
        <v>0</v>
      </c>
      <c r="F265" s="2276">
        <f t="shared" si="68"/>
        <v>0</v>
      </c>
      <c r="G265" s="2276">
        <f t="shared" si="68"/>
        <v>0</v>
      </c>
      <c r="H265" s="2277">
        <f t="shared" si="68"/>
        <v>0</v>
      </c>
    </row>
    <row r="266" spans="2:8">
      <c r="B266" s="3642" t="str">
        <f t="shared" si="67"/>
        <v>99 תשלומים לא רגילים</v>
      </c>
      <c r="C266" s="3642">
        <f t="shared" si="67"/>
        <v>0</v>
      </c>
      <c r="D266" s="811"/>
      <c r="E266" s="326">
        <f t="shared" si="68"/>
        <v>96869</v>
      </c>
      <c r="F266" s="2276">
        <f t="shared" si="68"/>
        <v>131404</v>
      </c>
      <c r="G266" s="2276">
        <f t="shared" si="68"/>
        <v>34535</v>
      </c>
      <c r="H266" s="2277">
        <f t="shared" si="68"/>
        <v>0.35651240334885259</v>
      </c>
    </row>
  </sheetData>
  <sheetProtection password="BEE5" sheet="1" objects="1" scenarios="1"/>
  <mergeCells count="10">
    <mergeCell ref="B40:C40"/>
    <mergeCell ref="E1:I1"/>
    <mergeCell ref="E3:I3"/>
    <mergeCell ref="D2:I2"/>
    <mergeCell ref="A4:B4"/>
    <mergeCell ref="B236:C236"/>
    <mergeCell ref="B266:C266"/>
    <mergeCell ref="B198:H198"/>
    <mergeCell ref="B199:H199"/>
    <mergeCell ref="B70:C70"/>
  </mergeCells>
  <phoneticPr fontId="4" type="noConversion"/>
  <hyperlinks>
    <hyperlink ref="A4" location="'תוכן הענינים'!A1" display="הצג תוכן עינינים"/>
    <hyperlink ref="A4:B4" location="'תוכן הענינים'!A1" tooltip="לחץ להצגת גליון תוכן הענינים" display="הצג תוכן ענינים"/>
  </hyperlinks>
  <printOptions horizontalCentered="1"/>
  <pageMargins left="0.75" right="0.75" top="0.56999999999999995" bottom="0.57999999999999996" header="0.25" footer="0.25"/>
  <pageSetup paperSize="9" scale="80" orientation="portrait" blackAndWhite="1" r:id="rId1"/>
  <headerFooter alignWithMargins="0">
    <oddHeader>&amp;L&amp;8&amp;A</oddHeader>
    <oddFooter>&amp;C&amp;8&amp;P</odd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1">
    <pageSetUpPr autoPageBreaks="0"/>
  </sheetPr>
  <dimension ref="A1:X236"/>
  <sheetViews>
    <sheetView showGridLines="0" showRowColHeaders="0" showZeros="0" rightToLeft="1" showOutlineSymbols="0" zoomScale="77" zoomScaleNormal="75" workbookViewId="0">
      <selection activeCell="A4" sqref="A4"/>
    </sheetView>
  </sheetViews>
  <sheetFormatPr defaultColWidth="9.109375" defaultRowHeight="20.100000000000001" customHeight="1"/>
  <cols>
    <col min="1" max="1" width="9.109375" style="1763"/>
    <col min="2" max="4" width="7.6640625" style="1841" customWidth="1"/>
    <col min="5" max="5" width="18.109375" style="1841" customWidth="1"/>
    <col min="6" max="6" width="4.88671875" style="1841" customWidth="1"/>
    <col min="7" max="7" width="12.33203125" style="1842" customWidth="1"/>
    <col min="8" max="20" width="12.33203125" style="1841" customWidth="1"/>
    <col min="21" max="21" width="1.6640625" style="1841" hidden="1" customWidth="1"/>
    <col min="22" max="22" width="23.88671875" style="1841" hidden="1" customWidth="1"/>
    <col min="23" max="23" width="12.33203125" style="1841" customWidth="1"/>
    <col min="24" max="16384" width="9.109375" style="1763"/>
  </cols>
  <sheetData>
    <row r="1" spans="1:24" ht="21.75" customHeight="1">
      <c r="A1" s="1759"/>
      <c r="B1" s="1760"/>
      <c r="C1" s="1761"/>
      <c r="D1" s="1761"/>
      <c r="E1" s="1761"/>
      <c r="F1" s="3654" t="str">
        <f>'הגדרות כלליות'!D6</f>
        <v>עירית הרצליה</v>
      </c>
      <c r="G1" s="3452"/>
      <c r="H1" s="3452"/>
      <c r="I1" s="3452"/>
      <c r="J1" s="3452"/>
      <c r="K1" s="3452"/>
      <c r="L1" s="3452"/>
      <c r="M1" s="3452"/>
      <c r="N1" s="1761"/>
      <c r="O1" s="1761"/>
      <c r="P1" s="1761"/>
      <c r="Q1" s="1761"/>
      <c r="R1" s="1761"/>
      <c r="S1" s="1761"/>
      <c r="T1" s="1761"/>
      <c r="U1" s="1761"/>
      <c r="V1" s="1761"/>
      <c r="W1" s="1761"/>
      <c r="X1" s="1762"/>
    </row>
    <row r="2" spans="1:24" ht="14.25" customHeight="1">
      <c r="A2" s="1764"/>
      <c r="B2" s="1760"/>
      <c r="C2" s="1761"/>
      <c r="D2" s="1761"/>
      <c r="E2" s="1761"/>
      <c r="F2" s="3660" t="str">
        <f>CONCATENATE("ריכוז התקבולים והתשלומים של התקציב הבלתי רגיל לפי פרקי תקציב לשנת הכספים ",'הגדרות כלליות'!D10)</f>
        <v>ריכוז התקבולים והתשלומים של התקציב הבלתי רגיל לפי פרקי תקציב לשנת הכספים 2015</v>
      </c>
      <c r="G2" s="3661"/>
      <c r="H2" s="3661"/>
      <c r="I2" s="3661"/>
      <c r="J2" s="3661"/>
      <c r="K2" s="3661"/>
      <c r="L2" s="3661"/>
      <c r="M2" s="3661"/>
      <c r="N2" s="1761"/>
      <c r="O2" s="1761"/>
      <c r="P2" s="1761"/>
      <c r="Q2" s="1761"/>
      <c r="R2" s="1761"/>
      <c r="S2" s="1761"/>
      <c r="T2" s="1761"/>
      <c r="U2" s="1761"/>
      <c r="V2" s="1761"/>
      <c r="W2" s="1761"/>
      <c r="X2" s="1762"/>
    </row>
    <row r="3" spans="1:24" ht="16.5" customHeight="1">
      <c r="A3" s="1764"/>
      <c r="B3" s="1760"/>
      <c r="C3" s="1761"/>
      <c r="D3" s="1760"/>
      <c r="E3" s="1761"/>
      <c r="F3" s="3654" t="s">
        <v>338</v>
      </c>
      <c r="G3" s="3452"/>
      <c r="H3" s="3452"/>
      <c r="I3" s="3452"/>
      <c r="J3" s="3452"/>
      <c r="K3" s="3452"/>
      <c r="L3" s="3452"/>
      <c r="M3" s="3452"/>
      <c r="N3" s="1761"/>
      <c r="O3" s="1761"/>
      <c r="P3" s="1761"/>
      <c r="Q3" s="1761"/>
      <c r="R3" s="1761"/>
      <c r="S3" s="1761"/>
      <c r="T3" s="1761"/>
      <c r="U3" s="1761"/>
      <c r="V3" s="1761"/>
      <c r="W3" s="1761"/>
      <c r="X3" s="1762"/>
    </row>
    <row r="4" spans="1:24" ht="24" customHeight="1">
      <c r="A4" s="7" t="s">
        <v>339</v>
      </c>
      <c r="B4" s="1765"/>
      <c r="C4" s="1765"/>
      <c r="D4" s="1765"/>
      <c r="E4" s="1765"/>
      <c r="F4" s="1765"/>
      <c r="G4" s="1765"/>
      <c r="H4" s="1765"/>
      <c r="I4" s="1765"/>
      <c r="J4" s="1765"/>
      <c r="K4" s="1765"/>
      <c r="L4" s="1765"/>
      <c r="M4" s="1765"/>
      <c r="N4" s="1765"/>
      <c r="O4" s="1765"/>
      <c r="P4" s="1765"/>
      <c r="Q4" s="1765"/>
      <c r="R4" s="1765"/>
      <c r="S4" s="1765"/>
      <c r="T4" s="1765"/>
      <c r="U4" s="1766"/>
      <c r="V4" s="1766"/>
      <c r="W4" s="1766"/>
      <c r="X4" s="1762"/>
    </row>
    <row r="5" spans="1:24" s="359" customFormat="1" ht="18.899999999999999" customHeight="1">
      <c r="A5" s="274"/>
      <c r="B5" s="1767"/>
      <c r="C5" s="1768"/>
      <c r="D5" s="1769"/>
      <c r="E5" s="1769"/>
      <c r="F5" s="1770"/>
      <c r="G5" s="1769"/>
      <c r="H5" s="1771"/>
      <c r="I5" s="577"/>
      <c r="J5" s="1770"/>
      <c r="K5" s="577"/>
      <c r="L5" s="1770"/>
      <c r="M5" s="577"/>
      <c r="N5" s="1769"/>
      <c r="O5" s="1770"/>
      <c r="P5" s="1769"/>
      <c r="Q5" s="3657" t="s">
        <v>997</v>
      </c>
      <c r="R5" s="3658"/>
      <c r="S5" s="3655" t="s">
        <v>998</v>
      </c>
      <c r="T5" s="3656"/>
      <c r="U5" s="1772"/>
      <c r="V5" s="274"/>
      <c r="W5" s="274"/>
      <c r="X5" s="178"/>
    </row>
    <row r="6" spans="1:24" ht="13.2">
      <c r="A6" s="1773"/>
      <c r="B6" s="1774" t="s">
        <v>999</v>
      </c>
      <c r="C6" s="1775"/>
      <c r="D6" s="1776" t="s">
        <v>782</v>
      </c>
      <c r="E6" s="1776" t="s">
        <v>1000</v>
      </c>
      <c r="F6" s="1777" t="s">
        <v>1001</v>
      </c>
      <c r="G6" s="1778" t="s">
        <v>1002</v>
      </c>
      <c r="H6" s="3650" t="str">
        <f>CONCATENATE(" הביצוע עד ",'הגדרות כלליות'!D18,".",'הגדרות כלליות'!D12)</f>
        <v xml:space="preserve"> הביצוע עד 31.12.2014</v>
      </c>
      <c r="I6" s="3662"/>
      <c r="J6" s="3650" t="str">
        <f>CONCATENATE("הביצוע בשנת ",'הגדרות כלליות'!D10)</f>
        <v>הביצוע בשנת 2015</v>
      </c>
      <c r="K6" s="3651"/>
      <c r="L6" s="3659" t="str">
        <f>CONCATENATE("הביצוע המצטבר", " ","ל-31.12.",Shana)</f>
        <v>הביצוע המצטבר ל-31.12.2015</v>
      </c>
      <c r="M6" s="3651"/>
      <c r="N6" s="1776" t="s">
        <v>1003</v>
      </c>
      <c r="O6" s="1776" t="s">
        <v>1003</v>
      </c>
      <c r="P6" s="1776" t="s">
        <v>1003</v>
      </c>
      <c r="Q6" s="1779" t="s">
        <v>1004</v>
      </c>
      <c r="R6" s="1779" t="s">
        <v>1004</v>
      </c>
      <c r="S6" s="1779" t="s">
        <v>1004</v>
      </c>
      <c r="T6" s="1780" t="s">
        <v>1004</v>
      </c>
      <c r="U6" s="1781"/>
      <c r="V6" s="1766"/>
      <c r="W6" s="1766"/>
      <c r="X6" s="1762"/>
    </row>
    <row r="7" spans="1:24" ht="13.2">
      <c r="A7" s="1773"/>
      <c r="B7" s="1782"/>
      <c r="C7" s="1779"/>
      <c r="D7" s="1776" t="s">
        <v>1005</v>
      </c>
      <c r="E7" s="1776"/>
      <c r="F7" s="1777" t="s">
        <v>1006</v>
      </c>
      <c r="G7" s="1778" t="s">
        <v>1007</v>
      </c>
      <c r="H7" s="3652"/>
      <c r="I7" s="3653"/>
      <c r="J7" s="3652"/>
      <c r="K7" s="3653"/>
      <c r="L7" s="3652"/>
      <c r="M7" s="3653"/>
      <c r="N7" s="1776" t="s">
        <v>1021</v>
      </c>
      <c r="O7" s="1776" t="s">
        <v>1022</v>
      </c>
      <c r="P7" s="1776" t="s">
        <v>1023</v>
      </c>
      <c r="Q7" s="1776" t="s">
        <v>524</v>
      </c>
      <c r="R7" s="1776" t="s">
        <v>529</v>
      </c>
      <c r="S7" s="1776" t="s">
        <v>1021</v>
      </c>
      <c r="T7" s="1780" t="s">
        <v>529</v>
      </c>
      <c r="U7" s="1781"/>
      <c r="V7" s="1773"/>
      <c r="W7" s="1773"/>
      <c r="X7" s="1762"/>
    </row>
    <row r="8" spans="1:24" ht="13.2">
      <c r="A8" s="1773"/>
      <c r="B8" s="1783" t="s">
        <v>1024</v>
      </c>
      <c r="C8" s="1784" t="s">
        <v>1025</v>
      </c>
      <c r="D8" s="1784"/>
      <c r="E8" s="1784"/>
      <c r="F8" s="1785"/>
      <c r="G8" s="1786"/>
      <c r="H8" s="1787" t="s">
        <v>529</v>
      </c>
      <c r="I8" s="1787" t="s">
        <v>524</v>
      </c>
      <c r="J8" s="1787" t="s">
        <v>529</v>
      </c>
      <c r="K8" s="1787" t="s">
        <v>524</v>
      </c>
      <c r="L8" s="1787" t="s">
        <v>529</v>
      </c>
      <c r="M8" s="1787" t="s">
        <v>524</v>
      </c>
      <c r="N8" s="1784" t="s">
        <v>1026</v>
      </c>
      <c r="O8" s="1784" t="s">
        <v>1026</v>
      </c>
      <c r="P8" s="1784" t="s">
        <v>908</v>
      </c>
      <c r="Q8" s="1784" t="s">
        <v>897</v>
      </c>
      <c r="R8" s="1784" t="s">
        <v>896</v>
      </c>
      <c r="S8" s="1784" t="s">
        <v>896</v>
      </c>
      <c r="T8" s="1788" t="s">
        <v>897</v>
      </c>
      <c r="U8" s="1781"/>
      <c r="V8" s="1773"/>
      <c r="W8" s="1773"/>
      <c r="X8" s="1762"/>
    </row>
    <row r="9" spans="1:24" ht="13.2">
      <c r="A9" s="1773"/>
      <c r="B9" s="1789">
        <v>1</v>
      </c>
      <c r="C9" s="1790"/>
      <c r="D9" s="1791">
        <f t="shared" ref="D9:D40" si="0">C9+B9</f>
        <v>1</v>
      </c>
      <c r="E9" s="1792" t="s">
        <v>1027</v>
      </c>
      <c r="F9" s="1792">
        <v>61</v>
      </c>
      <c r="G9" s="1793">
        <v>2460</v>
      </c>
      <c r="H9" s="1794">
        <v>1627</v>
      </c>
      <c r="I9" s="1794">
        <v>2260</v>
      </c>
      <c r="J9" s="1794">
        <v>151</v>
      </c>
      <c r="K9" s="1794">
        <v>200</v>
      </c>
      <c r="L9" s="1795">
        <f t="shared" ref="L9:L16" si="1">H9+J9</f>
        <v>1778</v>
      </c>
      <c r="M9" s="1795">
        <f t="shared" ref="M9:M38" si="2">K9+I9</f>
        <v>2460</v>
      </c>
      <c r="N9" s="1794">
        <v>682</v>
      </c>
      <c r="O9" s="1794"/>
      <c r="P9" s="1795">
        <f t="shared" ref="P9:P38" si="3">N9-O9</f>
        <v>682</v>
      </c>
      <c r="Q9" s="1794"/>
      <c r="R9" s="1794">
        <v>682</v>
      </c>
      <c r="S9" s="1794"/>
      <c r="T9" s="1796"/>
      <c r="U9" s="1781"/>
      <c r="V9" s="1797">
        <f t="shared" ref="V9:V41" si="4">G9+Q9-S9-M9</f>
        <v>0</v>
      </c>
      <c r="W9" s="1797"/>
      <c r="X9" s="1762"/>
    </row>
    <row r="10" spans="1:24" ht="13.2">
      <c r="A10" s="1773"/>
      <c r="B10" s="1798">
        <v>1</v>
      </c>
      <c r="C10" s="1799"/>
      <c r="D10" s="1800">
        <f t="shared" si="0"/>
        <v>1</v>
      </c>
      <c r="E10" s="1801" t="s">
        <v>1028</v>
      </c>
      <c r="F10" s="1801">
        <v>62</v>
      </c>
      <c r="G10" s="1802">
        <v>120</v>
      </c>
      <c r="H10" s="1803">
        <v>34</v>
      </c>
      <c r="I10" s="1803">
        <v>120</v>
      </c>
      <c r="J10" s="1803"/>
      <c r="K10" s="1803"/>
      <c r="L10" s="1804">
        <f t="shared" si="1"/>
        <v>34</v>
      </c>
      <c r="M10" s="1804">
        <f t="shared" si="2"/>
        <v>120</v>
      </c>
      <c r="N10" s="1803">
        <v>86</v>
      </c>
      <c r="O10" s="1803"/>
      <c r="P10" s="1804">
        <f t="shared" si="3"/>
        <v>86</v>
      </c>
      <c r="Q10" s="1803"/>
      <c r="R10" s="1803">
        <v>86</v>
      </c>
      <c r="S10" s="1803"/>
      <c r="T10" s="1805"/>
      <c r="U10" s="1781"/>
      <c r="V10" s="1797">
        <f t="shared" si="4"/>
        <v>0</v>
      </c>
      <c r="W10" s="1797"/>
      <c r="X10" s="1762"/>
    </row>
    <row r="11" spans="1:24" ht="13.2">
      <c r="A11" s="1773"/>
      <c r="B11" s="1789"/>
      <c r="C11" s="1790"/>
      <c r="D11" s="1800">
        <f t="shared" si="0"/>
        <v>0</v>
      </c>
      <c r="E11" s="1801" t="s">
        <v>1029</v>
      </c>
      <c r="F11" s="1801">
        <v>63</v>
      </c>
      <c r="G11" s="1793"/>
      <c r="H11" s="1794"/>
      <c r="I11" s="1794"/>
      <c r="J11" s="1794"/>
      <c r="K11" s="1794"/>
      <c r="L11" s="1804">
        <f t="shared" si="1"/>
        <v>0</v>
      </c>
      <c r="M11" s="1804">
        <f t="shared" si="2"/>
        <v>0</v>
      </c>
      <c r="N11" s="1794"/>
      <c r="O11" s="1794"/>
      <c r="P11" s="1804">
        <f t="shared" si="3"/>
        <v>0</v>
      </c>
      <c r="Q11" s="1794"/>
      <c r="R11" s="1794"/>
      <c r="S11" s="1794"/>
      <c r="T11" s="1796"/>
      <c r="U11" s="1781"/>
      <c r="V11" s="1797">
        <f t="shared" si="4"/>
        <v>0</v>
      </c>
      <c r="W11" s="1797"/>
      <c r="X11" s="1762"/>
    </row>
    <row r="12" spans="1:24" ht="13.2">
      <c r="A12" s="1773"/>
      <c r="B12" s="1798"/>
      <c r="C12" s="1799"/>
      <c r="D12" s="1800">
        <f t="shared" si="0"/>
        <v>0</v>
      </c>
      <c r="E12" s="1801" t="s">
        <v>921</v>
      </c>
      <c r="F12" s="1801">
        <v>64</v>
      </c>
      <c r="G12" s="1802"/>
      <c r="H12" s="1803"/>
      <c r="I12" s="1803"/>
      <c r="J12" s="1803"/>
      <c r="K12" s="1803"/>
      <c r="L12" s="1804">
        <f t="shared" si="1"/>
        <v>0</v>
      </c>
      <c r="M12" s="1804">
        <f t="shared" si="2"/>
        <v>0</v>
      </c>
      <c r="N12" s="1803"/>
      <c r="O12" s="1803"/>
      <c r="P12" s="1804">
        <f t="shared" si="3"/>
        <v>0</v>
      </c>
      <c r="Q12" s="1803"/>
      <c r="R12" s="1803"/>
      <c r="S12" s="1803"/>
      <c r="T12" s="1805"/>
      <c r="U12" s="1781"/>
      <c r="V12" s="1797">
        <f t="shared" si="4"/>
        <v>0</v>
      </c>
      <c r="W12" s="1797"/>
      <c r="X12" s="1762"/>
    </row>
    <row r="13" spans="1:24" ht="13.2">
      <c r="A13" s="1773"/>
      <c r="B13" s="1789">
        <v>1</v>
      </c>
      <c r="C13" s="1790"/>
      <c r="D13" s="1800">
        <f t="shared" si="0"/>
        <v>1</v>
      </c>
      <c r="E13" s="1801" t="s">
        <v>1030</v>
      </c>
      <c r="F13" s="1801">
        <v>71</v>
      </c>
      <c r="G13" s="1793">
        <v>5700</v>
      </c>
      <c r="H13" s="1794">
        <v>474</v>
      </c>
      <c r="I13" s="1794">
        <v>650</v>
      </c>
      <c r="J13" s="1794">
        <v>1073</v>
      </c>
      <c r="K13" s="1794">
        <v>5050</v>
      </c>
      <c r="L13" s="1804">
        <f t="shared" si="1"/>
        <v>1547</v>
      </c>
      <c r="M13" s="1804">
        <f t="shared" si="2"/>
        <v>5700</v>
      </c>
      <c r="N13" s="1794">
        <v>4153</v>
      </c>
      <c r="O13" s="1794"/>
      <c r="P13" s="1804">
        <f t="shared" si="3"/>
        <v>4153</v>
      </c>
      <c r="Q13" s="1794"/>
      <c r="R13" s="1794">
        <v>4153</v>
      </c>
      <c r="S13" s="1794"/>
      <c r="T13" s="1796"/>
      <c r="U13" s="1781"/>
      <c r="V13" s="1797">
        <f t="shared" si="4"/>
        <v>0</v>
      </c>
      <c r="W13" s="1797"/>
      <c r="X13" s="1762"/>
    </row>
    <row r="14" spans="1:24" ht="13.2">
      <c r="A14" s="1773"/>
      <c r="B14" s="1798">
        <v>7</v>
      </c>
      <c r="C14" s="1799">
        <v>1</v>
      </c>
      <c r="D14" s="1800">
        <f t="shared" si="0"/>
        <v>8</v>
      </c>
      <c r="E14" s="1801" t="s">
        <v>1031</v>
      </c>
      <c r="F14" s="1801">
        <v>72</v>
      </c>
      <c r="G14" s="1802">
        <v>16020</v>
      </c>
      <c r="H14" s="1803">
        <v>14527</v>
      </c>
      <c r="I14" s="1803">
        <v>15820</v>
      </c>
      <c r="J14" s="1803">
        <v>1083</v>
      </c>
      <c r="K14" s="1803">
        <v>200</v>
      </c>
      <c r="L14" s="1804">
        <f t="shared" si="1"/>
        <v>15610</v>
      </c>
      <c r="M14" s="1804">
        <f t="shared" si="2"/>
        <v>16020</v>
      </c>
      <c r="N14" s="1803">
        <v>410</v>
      </c>
      <c r="O14" s="1803"/>
      <c r="P14" s="1804">
        <f t="shared" si="3"/>
        <v>410</v>
      </c>
      <c r="Q14" s="1803"/>
      <c r="R14" s="1803">
        <v>410</v>
      </c>
      <c r="S14" s="1803"/>
      <c r="T14" s="1805"/>
      <c r="U14" s="1781"/>
      <c r="V14" s="1797">
        <f t="shared" si="4"/>
        <v>0</v>
      </c>
      <c r="W14" s="1797"/>
      <c r="X14" s="1762"/>
    </row>
    <row r="15" spans="1:24" ht="13.2">
      <c r="A15" s="1773"/>
      <c r="B15" s="1789">
        <v>49</v>
      </c>
      <c r="C15" s="1790">
        <v>13</v>
      </c>
      <c r="D15" s="1800">
        <f t="shared" si="0"/>
        <v>62</v>
      </c>
      <c r="E15" s="1801" t="s">
        <v>1032</v>
      </c>
      <c r="F15" s="1801">
        <v>73</v>
      </c>
      <c r="G15" s="1793">
        <v>149155</v>
      </c>
      <c r="H15" s="1794">
        <v>132297</v>
      </c>
      <c r="I15" s="1794">
        <v>147622</v>
      </c>
      <c r="J15" s="1794">
        <v>-7094</v>
      </c>
      <c r="K15" s="1794">
        <v>-1049</v>
      </c>
      <c r="L15" s="1804">
        <f t="shared" si="1"/>
        <v>125203</v>
      </c>
      <c r="M15" s="1804">
        <f t="shared" si="2"/>
        <v>146573</v>
      </c>
      <c r="N15" s="1794">
        <v>21395</v>
      </c>
      <c r="O15" s="1794">
        <v>25</v>
      </c>
      <c r="P15" s="1804">
        <f t="shared" si="3"/>
        <v>21370</v>
      </c>
      <c r="Q15" s="1794"/>
      <c r="R15" s="1794">
        <v>23952</v>
      </c>
      <c r="S15" s="1794">
        <v>2582</v>
      </c>
      <c r="T15" s="1796"/>
      <c r="U15" s="1781"/>
      <c r="V15" s="1797">
        <f t="shared" si="4"/>
        <v>0</v>
      </c>
      <c r="W15" s="1797"/>
      <c r="X15" s="1762"/>
    </row>
    <row r="16" spans="1:24" ht="13.2">
      <c r="A16" s="1773"/>
      <c r="B16" s="1798">
        <v>156</v>
      </c>
      <c r="C16" s="1799">
        <v>26</v>
      </c>
      <c r="D16" s="1800">
        <f t="shared" si="0"/>
        <v>182</v>
      </c>
      <c r="E16" s="1801" t="s">
        <v>1033</v>
      </c>
      <c r="F16" s="1801">
        <v>74</v>
      </c>
      <c r="G16" s="1802">
        <v>783621</v>
      </c>
      <c r="H16" s="1803">
        <v>566237</v>
      </c>
      <c r="I16" s="1803">
        <v>646779</v>
      </c>
      <c r="J16" s="1803">
        <v>76714</v>
      </c>
      <c r="K16" s="1803">
        <v>135232</v>
      </c>
      <c r="L16" s="1804">
        <f t="shared" si="1"/>
        <v>642951</v>
      </c>
      <c r="M16" s="1804">
        <f t="shared" si="2"/>
        <v>782011</v>
      </c>
      <c r="N16" s="1803">
        <v>139820</v>
      </c>
      <c r="O16" s="1803">
        <v>760</v>
      </c>
      <c r="P16" s="1804">
        <f t="shared" si="3"/>
        <v>139060</v>
      </c>
      <c r="Q16" s="1803"/>
      <c r="R16" s="1803">
        <v>140670</v>
      </c>
      <c r="S16" s="1803">
        <v>1610</v>
      </c>
      <c r="T16" s="1805"/>
      <c r="U16" s="1781"/>
      <c r="V16" s="1797">
        <f t="shared" si="4"/>
        <v>0</v>
      </c>
      <c r="W16" s="1797"/>
      <c r="X16" s="1762"/>
    </row>
    <row r="17" spans="1:24" ht="13.2">
      <c r="A17" s="1773"/>
      <c r="B17" s="1789"/>
      <c r="C17" s="1790"/>
      <c r="D17" s="1800">
        <f t="shared" si="0"/>
        <v>0</v>
      </c>
      <c r="E17" s="1801" t="s">
        <v>1034</v>
      </c>
      <c r="F17" s="1801">
        <v>75</v>
      </c>
      <c r="G17" s="1793"/>
      <c r="H17" s="1794"/>
      <c r="I17" s="1794"/>
      <c r="J17" s="1794"/>
      <c r="K17" s="1794"/>
      <c r="L17" s="1804">
        <f>J17+H17</f>
        <v>0</v>
      </c>
      <c r="M17" s="1804">
        <f t="shared" si="2"/>
        <v>0</v>
      </c>
      <c r="N17" s="1794"/>
      <c r="O17" s="1794"/>
      <c r="P17" s="1804">
        <f t="shared" si="3"/>
        <v>0</v>
      </c>
      <c r="Q17" s="1794"/>
      <c r="R17" s="1794"/>
      <c r="S17" s="1794"/>
      <c r="T17" s="1796"/>
      <c r="U17" s="1781"/>
      <c r="V17" s="1797">
        <f t="shared" si="4"/>
        <v>0</v>
      </c>
      <c r="W17" s="1797"/>
      <c r="X17" s="1762"/>
    </row>
    <row r="18" spans="1:24" ht="13.2">
      <c r="A18" s="1773"/>
      <c r="B18" s="1798">
        <v>15</v>
      </c>
      <c r="C18" s="1799">
        <v>2</v>
      </c>
      <c r="D18" s="1800">
        <f t="shared" si="0"/>
        <v>17</v>
      </c>
      <c r="E18" s="1806" t="s">
        <v>1035</v>
      </c>
      <c r="F18" s="1806">
        <v>76</v>
      </c>
      <c r="G18" s="1802">
        <v>75750</v>
      </c>
      <c r="H18" s="1803">
        <v>61444</v>
      </c>
      <c r="I18" s="1803">
        <v>64365</v>
      </c>
      <c r="J18" s="1803">
        <v>8651</v>
      </c>
      <c r="K18" s="1803">
        <v>11385</v>
      </c>
      <c r="L18" s="1804">
        <f t="shared" ref="L18:L29" si="5">H18+J18</f>
        <v>70095</v>
      </c>
      <c r="M18" s="1804">
        <f t="shared" si="2"/>
        <v>75750</v>
      </c>
      <c r="N18" s="1803">
        <v>5655</v>
      </c>
      <c r="O18" s="1803"/>
      <c r="P18" s="1804">
        <f t="shared" si="3"/>
        <v>5655</v>
      </c>
      <c r="Q18" s="1803"/>
      <c r="R18" s="1803">
        <v>5655</v>
      </c>
      <c r="S18" s="1803"/>
      <c r="T18" s="1805"/>
      <c r="U18" s="1781"/>
      <c r="V18" s="1797">
        <f t="shared" si="4"/>
        <v>0</v>
      </c>
      <c r="W18" s="1797"/>
      <c r="X18" s="1807" t="s">
        <v>360</v>
      </c>
    </row>
    <row r="19" spans="1:24" ht="13.2">
      <c r="A19" s="1773"/>
      <c r="B19" s="1789"/>
      <c r="C19" s="1790"/>
      <c r="D19" s="1800">
        <f t="shared" si="0"/>
        <v>0</v>
      </c>
      <c r="E19" s="1806" t="s">
        <v>1036</v>
      </c>
      <c r="F19" s="1806">
        <v>77</v>
      </c>
      <c r="G19" s="1793"/>
      <c r="H19" s="1794"/>
      <c r="I19" s="1794"/>
      <c r="J19" s="1794"/>
      <c r="K19" s="1794"/>
      <c r="L19" s="1804">
        <f t="shared" si="5"/>
        <v>0</v>
      </c>
      <c r="M19" s="1804">
        <f t="shared" si="2"/>
        <v>0</v>
      </c>
      <c r="N19" s="1794"/>
      <c r="O19" s="1794"/>
      <c r="P19" s="1804">
        <f t="shared" si="3"/>
        <v>0</v>
      </c>
      <c r="Q19" s="1794"/>
      <c r="R19" s="1794"/>
      <c r="S19" s="1794"/>
      <c r="T19" s="1796"/>
      <c r="U19" s="1781"/>
      <c r="V19" s="1797">
        <f t="shared" si="4"/>
        <v>0</v>
      </c>
      <c r="W19" s="1797"/>
      <c r="X19" s="1762"/>
    </row>
    <row r="20" spans="1:24" ht="13.2">
      <c r="A20" s="1773"/>
      <c r="B20" s="1798"/>
      <c r="C20" s="1799"/>
      <c r="D20" s="1800">
        <f t="shared" si="0"/>
        <v>0</v>
      </c>
      <c r="E20" s="1801" t="s">
        <v>1037</v>
      </c>
      <c r="F20" s="1801">
        <v>78</v>
      </c>
      <c r="G20" s="1802"/>
      <c r="H20" s="1803"/>
      <c r="I20" s="1803"/>
      <c r="J20" s="1803"/>
      <c r="K20" s="1803"/>
      <c r="L20" s="1804">
        <f t="shared" si="5"/>
        <v>0</v>
      </c>
      <c r="M20" s="1804">
        <f t="shared" si="2"/>
        <v>0</v>
      </c>
      <c r="N20" s="1803"/>
      <c r="O20" s="1803"/>
      <c r="P20" s="1804">
        <f t="shared" si="3"/>
        <v>0</v>
      </c>
      <c r="Q20" s="1803"/>
      <c r="R20" s="1803"/>
      <c r="S20" s="1803"/>
      <c r="T20" s="1805"/>
      <c r="U20" s="1781"/>
      <c r="V20" s="1797">
        <f t="shared" si="4"/>
        <v>0</v>
      </c>
      <c r="W20" s="1797"/>
      <c r="X20" s="1762"/>
    </row>
    <row r="21" spans="1:24" ht="13.2">
      <c r="A21" s="1773"/>
      <c r="B21" s="1789"/>
      <c r="C21" s="1790"/>
      <c r="D21" s="1800">
        <f t="shared" si="0"/>
        <v>0</v>
      </c>
      <c r="E21" s="1801" t="s">
        <v>1038</v>
      </c>
      <c r="F21" s="1801">
        <v>79</v>
      </c>
      <c r="G21" s="1793"/>
      <c r="H21" s="1794"/>
      <c r="I21" s="1794"/>
      <c r="J21" s="1794"/>
      <c r="K21" s="1794"/>
      <c r="L21" s="1804">
        <f t="shared" si="5"/>
        <v>0</v>
      </c>
      <c r="M21" s="1804">
        <f t="shared" si="2"/>
        <v>0</v>
      </c>
      <c r="N21" s="1794"/>
      <c r="O21" s="1794"/>
      <c r="P21" s="1804">
        <f t="shared" si="3"/>
        <v>0</v>
      </c>
      <c r="Q21" s="1794"/>
      <c r="R21" s="1794"/>
      <c r="S21" s="1794"/>
      <c r="T21" s="1796"/>
      <c r="U21" s="1781"/>
      <c r="V21" s="1797">
        <f t="shared" si="4"/>
        <v>0</v>
      </c>
      <c r="W21" s="1797"/>
      <c r="X21" s="1762"/>
    </row>
    <row r="22" spans="1:24" ht="13.2">
      <c r="A22" s="1773"/>
      <c r="B22" s="1798">
        <v>56</v>
      </c>
      <c r="C22" s="1799">
        <v>5</v>
      </c>
      <c r="D22" s="1800">
        <f t="shared" si="0"/>
        <v>61</v>
      </c>
      <c r="E22" s="1801" t="s">
        <v>965</v>
      </c>
      <c r="F22" s="1801">
        <v>81</v>
      </c>
      <c r="G22" s="1802">
        <v>380144</v>
      </c>
      <c r="H22" s="1803">
        <v>314809</v>
      </c>
      <c r="I22" s="1803">
        <v>323645</v>
      </c>
      <c r="J22" s="1803">
        <v>36196</v>
      </c>
      <c r="K22" s="1803">
        <v>50531</v>
      </c>
      <c r="L22" s="1804">
        <f t="shared" si="5"/>
        <v>351005</v>
      </c>
      <c r="M22" s="1804">
        <f t="shared" si="2"/>
        <v>374176</v>
      </c>
      <c r="N22" s="1803">
        <v>24221</v>
      </c>
      <c r="O22" s="1803">
        <v>1050</v>
      </c>
      <c r="P22" s="1804">
        <f t="shared" si="3"/>
        <v>23171</v>
      </c>
      <c r="Q22" s="1803"/>
      <c r="R22" s="1803">
        <v>29138</v>
      </c>
      <c r="S22" s="1803">
        <v>5967</v>
      </c>
      <c r="T22" s="1805"/>
      <c r="U22" s="1781"/>
      <c r="V22" s="1797">
        <f t="shared" si="4"/>
        <v>1</v>
      </c>
      <c r="W22" s="1797"/>
      <c r="X22" s="1762"/>
    </row>
    <row r="23" spans="1:24" ht="13.2">
      <c r="A23" s="1773"/>
      <c r="B23" s="1789">
        <v>33</v>
      </c>
      <c r="C23" s="1790">
        <v>8</v>
      </c>
      <c r="D23" s="1800">
        <f t="shared" si="0"/>
        <v>41</v>
      </c>
      <c r="E23" s="1801" t="s">
        <v>1039</v>
      </c>
      <c r="F23" s="1801">
        <v>82</v>
      </c>
      <c r="G23" s="1793">
        <v>64196</v>
      </c>
      <c r="H23" s="1794">
        <v>47046</v>
      </c>
      <c r="I23" s="1794">
        <v>52022</v>
      </c>
      <c r="J23" s="1794">
        <v>5084</v>
      </c>
      <c r="K23" s="1794">
        <v>11525</v>
      </c>
      <c r="L23" s="1804">
        <f t="shared" si="5"/>
        <v>52130</v>
      </c>
      <c r="M23" s="1804">
        <f t="shared" si="2"/>
        <v>63547</v>
      </c>
      <c r="N23" s="1794">
        <v>11996</v>
      </c>
      <c r="O23" s="1794">
        <v>579</v>
      </c>
      <c r="P23" s="1804">
        <f t="shared" si="3"/>
        <v>11417</v>
      </c>
      <c r="Q23" s="1794"/>
      <c r="R23" s="1794">
        <v>12067</v>
      </c>
      <c r="S23" s="1794">
        <v>650</v>
      </c>
      <c r="T23" s="1796"/>
      <c r="U23" s="1781"/>
      <c r="V23" s="1797">
        <f t="shared" si="4"/>
        <v>-1</v>
      </c>
      <c r="W23" s="1797"/>
      <c r="X23" s="1762"/>
    </row>
    <row r="24" spans="1:24" ht="13.2">
      <c r="A24" s="1773"/>
      <c r="B24" s="1798"/>
      <c r="C24" s="1799"/>
      <c r="D24" s="1800">
        <f t="shared" si="0"/>
        <v>0</v>
      </c>
      <c r="E24" s="1801" t="s">
        <v>1040</v>
      </c>
      <c r="F24" s="1801">
        <v>83</v>
      </c>
      <c r="G24" s="1802"/>
      <c r="H24" s="1803"/>
      <c r="I24" s="1803"/>
      <c r="J24" s="1803"/>
      <c r="K24" s="1803"/>
      <c r="L24" s="1804">
        <f t="shared" si="5"/>
        <v>0</v>
      </c>
      <c r="M24" s="1804">
        <f t="shared" si="2"/>
        <v>0</v>
      </c>
      <c r="N24" s="1803"/>
      <c r="O24" s="1803"/>
      <c r="P24" s="1804">
        <f t="shared" si="3"/>
        <v>0</v>
      </c>
      <c r="Q24" s="1803"/>
      <c r="R24" s="1803"/>
      <c r="S24" s="1803"/>
      <c r="T24" s="1805"/>
      <c r="U24" s="1781"/>
      <c r="V24" s="1797">
        <f t="shared" si="4"/>
        <v>0</v>
      </c>
      <c r="W24" s="1797"/>
      <c r="X24" s="1762"/>
    </row>
    <row r="25" spans="1:24" ht="13.2">
      <c r="A25" s="1773"/>
      <c r="B25" s="1789">
        <v>2</v>
      </c>
      <c r="C25" s="1790"/>
      <c r="D25" s="1800">
        <f t="shared" si="0"/>
        <v>2</v>
      </c>
      <c r="E25" s="1801" t="s">
        <v>1041</v>
      </c>
      <c r="F25" s="1801">
        <v>84</v>
      </c>
      <c r="G25" s="1793">
        <v>13650</v>
      </c>
      <c r="H25" s="1794">
        <v>9104</v>
      </c>
      <c r="I25" s="1794">
        <v>10650</v>
      </c>
      <c r="J25" s="1794">
        <v>3133</v>
      </c>
      <c r="K25" s="1794">
        <v>3000</v>
      </c>
      <c r="L25" s="1804">
        <f t="shared" si="5"/>
        <v>12237</v>
      </c>
      <c r="M25" s="1804">
        <f t="shared" si="2"/>
        <v>13650</v>
      </c>
      <c r="N25" s="1794">
        <v>1413</v>
      </c>
      <c r="O25" s="1794"/>
      <c r="P25" s="1804">
        <f t="shared" si="3"/>
        <v>1413</v>
      </c>
      <c r="Q25" s="1794"/>
      <c r="R25" s="1794">
        <v>1413</v>
      </c>
      <c r="S25" s="1794"/>
      <c r="T25" s="1796"/>
      <c r="U25" s="1781"/>
      <c r="V25" s="1797">
        <f t="shared" si="4"/>
        <v>0</v>
      </c>
      <c r="W25" s="1797"/>
      <c r="X25" s="1762"/>
    </row>
    <row r="26" spans="1:24" ht="13.2">
      <c r="A26" s="1773"/>
      <c r="B26" s="1798">
        <v>5</v>
      </c>
      <c r="C26" s="1799">
        <v>2</v>
      </c>
      <c r="D26" s="1800">
        <f t="shared" si="0"/>
        <v>7</v>
      </c>
      <c r="E26" s="1801" t="s">
        <v>1042</v>
      </c>
      <c r="F26" s="1801">
        <v>85</v>
      </c>
      <c r="G26" s="1802">
        <v>10283</v>
      </c>
      <c r="H26" s="1803">
        <v>7060</v>
      </c>
      <c r="I26" s="1803">
        <v>7216</v>
      </c>
      <c r="J26" s="1803">
        <v>2473</v>
      </c>
      <c r="K26" s="1803">
        <v>1430</v>
      </c>
      <c r="L26" s="1804">
        <f t="shared" si="5"/>
        <v>9533</v>
      </c>
      <c r="M26" s="1804">
        <f t="shared" si="2"/>
        <v>8646</v>
      </c>
      <c r="N26" s="1803">
        <v>711</v>
      </c>
      <c r="O26" s="1803">
        <v>1598</v>
      </c>
      <c r="P26" s="1804">
        <f t="shared" si="3"/>
        <v>-887</v>
      </c>
      <c r="Q26" s="1803"/>
      <c r="R26" s="1803">
        <v>750</v>
      </c>
      <c r="S26" s="1803">
        <v>1637</v>
      </c>
      <c r="T26" s="1805"/>
      <c r="U26" s="1781"/>
      <c r="V26" s="1797">
        <f t="shared" si="4"/>
        <v>0</v>
      </c>
      <c r="W26" s="1797"/>
      <c r="X26" s="1762"/>
    </row>
    <row r="27" spans="1:24" ht="13.2">
      <c r="A27" s="1773"/>
      <c r="B27" s="1789"/>
      <c r="C27" s="1790"/>
      <c r="D27" s="1800">
        <f t="shared" si="0"/>
        <v>0</v>
      </c>
      <c r="E27" s="1801" t="s">
        <v>1043</v>
      </c>
      <c r="F27" s="1801">
        <v>86</v>
      </c>
      <c r="G27" s="1793"/>
      <c r="H27" s="1794"/>
      <c r="I27" s="1794"/>
      <c r="J27" s="1794"/>
      <c r="K27" s="1794"/>
      <c r="L27" s="1804">
        <f t="shared" si="5"/>
        <v>0</v>
      </c>
      <c r="M27" s="1804">
        <f t="shared" si="2"/>
        <v>0</v>
      </c>
      <c r="N27" s="1794"/>
      <c r="O27" s="1794"/>
      <c r="P27" s="1804">
        <f t="shared" si="3"/>
        <v>0</v>
      </c>
      <c r="Q27" s="1794"/>
      <c r="R27" s="1794"/>
      <c r="S27" s="1794"/>
      <c r="T27" s="1796"/>
      <c r="U27" s="1781"/>
      <c r="V27" s="1797">
        <f t="shared" si="4"/>
        <v>0</v>
      </c>
      <c r="W27" s="1797"/>
      <c r="X27" s="1762"/>
    </row>
    <row r="28" spans="1:24" ht="13.2">
      <c r="A28" s="1773"/>
      <c r="B28" s="1798">
        <v>13</v>
      </c>
      <c r="C28" s="1799"/>
      <c r="D28" s="1800">
        <f t="shared" si="0"/>
        <v>13</v>
      </c>
      <c r="E28" s="1801" t="s">
        <v>1044</v>
      </c>
      <c r="F28" s="1801">
        <v>87</v>
      </c>
      <c r="G28" s="1802">
        <v>53097</v>
      </c>
      <c r="H28" s="1803">
        <v>47338</v>
      </c>
      <c r="I28" s="1803">
        <v>44308</v>
      </c>
      <c r="J28" s="1803">
        <v>4455</v>
      </c>
      <c r="K28" s="1803">
        <v>5551</v>
      </c>
      <c r="L28" s="1804">
        <f t="shared" si="5"/>
        <v>51793</v>
      </c>
      <c r="M28" s="1804">
        <f t="shared" si="2"/>
        <v>49859</v>
      </c>
      <c r="N28" s="1803">
        <v>1117</v>
      </c>
      <c r="O28" s="1803">
        <v>3051</v>
      </c>
      <c r="P28" s="1804">
        <f t="shared" si="3"/>
        <v>-1934</v>
      </c>
      <c r="Q28" s="1803"/>
      <c r="R28" s="1803">
        <v>1304</v>
      </c>
      <c r="S28" s="1803">
        <v>3238</v>
      </c>
      <c r="T28" s="1805"/>
      <c r="U28" s="1781"/>
      <c r="V28" s="1797">
        <f t="shared" si="4"/>
        <v>0</v>
      </c>
      <c r="W28" s="1797"/>
      <c r="X28" s="1762"/>
    </row>
    <row r="29" spans="1:24" ht="13.2">
      <c r="A29" s="1773"/>
      <c r="B29" s="1789"/>
      <c r="C29" s="1790"/>
      <c r="D29" s="1800">
        <f t="shared" si="0"/>
        <v>0</v>
      </c>
      <c r="E29" s="1801" t="s">
        <v>1045</v>
      </c>
      <c r="F29" s="1801">
        <v>91</v>
      </c>
      <c r="G29" s="1793"/>
      <c r="H29" s="1794"/>
      <c r="I29" s="1794"/>
      <c r="J29" s="1794"/>
      <c r="K29" s="1794"/>
      <c r="L29" s="1804">
        <f t="shared" si="5"/>
        <v>0</v>
      </c>
      <c r="M29" s="1804">
        <f t="shared" si="2"/>
        <v>0</v>
      </c>
      <c r="N29" s="1794"/>
      <c r="O29" s="1794"/>
      <c r="P29" s="1804">
        <f t="shared" si="3"/>
        <v>0</v>
      </c>
      <c r="Q29" s="1794"/>
      <c r="R29" s="1794"/>
      <c r="S29" s="1794"/>
      <c r="T29" s="1796"/>
      <c r="U29" s="1781"/>
      <c r="V29" s="1797">
        <f t="shared" si="4"/>
        <v>0</v>
      </c>
      <c r="W29" s="1797"/>
      <c r="X29" s="1762"/>
    </row>
    <row r="30" spans="1:24" ht="13.2">
      <c r="A30" s="1773"/>
      <c r="B30" s="1798"/>
      <c r="C30" s="1799"/>
      <c r="D30" s="1800">
        <f t="shared" si="0"/>
        <v>0</v>
      </c>
      <c r="E30" s="1801" t="s">
        <v>1046</v>
      </c>
      <c r="F30" s="1801">
        <v>92</v>
      </c>
      <c r="G30" s="1802"/>
      <c r="H30" s="1803"/>
      <c r="I30" s="1803"/>
      <c r="J30" s="1803"/>
      <c r="K30" s="1803"/>
      <c r="L30" s="1804">
        <f t="shared" ref="L30:L38" si="6">J30+H30</f>
        <v>0</v>
      </c>
      <c r="M30" s="1804">
        <f t="shared" si="2"/>
        <v>0</v>
      </c>
      <c r="N30" s="1803"/>
      <c r="O30" s="1803"/>
      <c r="P30" s="1804">
        <f t="shared" si="3"/>
        <v>0</v>
      </c>
      <c r="Q30" s="1803"/>
      <c r="R30" s="1803"/>
      <c r="S30" s="1803"/>
      <c r="T30" s="1805"/>
      <c r="U30" s="1781"/>
      <c r="V30" s="1797">
        <f t="shared" si="4"/>
        <v>0</v>
      </c>
      <c r="W30" s="1797"/>
      <c r="X30" s="1762"/>
    </row>
    <row r="31" spans="1:24" ht="13.2">
      <c r="A31" s="1773"/>
      <c r="B31" s="1789">
        <v>32</v>
      </c>
      <c r="C31" s="1790">
        <v>12</v>
      </c>
      <c r="D31" s="1800">
        <f t="shared" si="0"/>
        <v>44</v>
      </c>
      <c r="E31" s="1801" t="s">
        <v>340</v>
      </c>
      <c r="F31" s="1801">
        <v>93</v>
      </c>
      <c r="G31" s="1793">
        <v>218140</v>
      </c>
      <c r="H31" s="1794">
        <v>107967</v>
      </c>
      <c r="I31" s="1794">
        <v>121165</v>
      </c>
      <c r="J31" s="1794">
        <v>39982</v>
      </c>
      <c r="K31" s="1794">
        <v>96975</v>
      </c>
      <c r="L31" s="1804">
        <f t="shared" si="6"/>
        <v>147949</v>
      </c>
      <c r="M31" s="1804">
        <f t="shared" si="2"/>
        <v>218140</v>
      </c>
      <c r="N31" s="1794">
        <v>70191</v>
      </c>
      <c r="O31" s="1794"/>
      <c r="P31" s="1804">
        <f t="shared" si="3"/>
        <v>70191</v>
      </c>
      <c r="Q31" s="1794"/>
      <c r="R31" s="1794">
        <v>70191</v>
      </c>
      <c r="S31" s="1794"/>
      <c r="T31" s="1796"/>
      <c r="U31" s="1781"/>
      <c r="V31" s="1797">
        <f t="shared" si="4"/>
        <v>0</v>
      </c>
      <c r="W31" s="1797"/>
      <c r="X31" s="1762"/>
    </row>
    <row r="32" spans="1:24" ht="13.2">
      <c r="A32" s="1773"/>
      <c r="B32" s="1798"/>
      <c r="C32" s="1799"/>
      <c r="D32" s="1800">
        <f t="shared" si="0"/>
        <v>0</v>
      </c>
      <c r="E32" s="1801" t="s">
        <v>1047</v>
      </c>
      <c r="F32" s="1801">
        <v>94</v>
      </c>
      <c r="G32" s="1802"/>
      <c r="H32" s="1803"/>
      <c r="I32" s="1803"/>
      <c r="J32" s="1803"/>
      <c r="K32" s="1803"/>
      <c r="L32" s="1804">
        <f t="shared" si="6"/>
        <v>0</v>
      </c>
      <c r="M32" s="1804">
        <f t="shared" si="2"/>
        <v>0</v>
      </c>
      <c r="N32" s="1803"/>
      <c r="O32" s="1803"/>
      <c r="P32" s="1804">
        <f t="shared" si="3"/>
        <v>0</v>
      </c>
      <c r="Q32" s="1803"/>
      <c r="R32" s="1803"/>
      <c r="S32" s="1803"/>
      <c r="T32" s="1805"/>
      <c r="U32" s="1781"/>
      <c r="V32" s="1797">
        <f t="shared" si="4"/>
        <v>0</v>
      </c>
      <c r="W32" s="1797"/>
      <c r="X32" s="1762"/>
    </row>
    <row r="33" spans="1:24" ht="13.2">
      <c r="A33" s="1773"/>
      <c r="B33" s="1789"/>
      <c r="C33" s="1790"/>
      <c r="D33" s="1800">
        <f t="shared" si="0"/>
        <v>0</v>
      </c>
      <c r="E33" s="1801" t="s">
        <v>1048</v>
      </c>
      <c r="F33" s="1801">
        <v>95</v>
      </c>
      <c r="G33" s="1793"/>
      <c r="H33" s="1794"/>
      <c r="I33" s="1794"/>
      <c r="J33" s="1794"/>
      <c r="K33" s="1794"/>
      <c r="L33" s="1804">
        <f t="shared" si="6"/>
        <v>0</v>
      </c>
      <c r="M33" s="1804">
        <f t="shared" si="2"/>
        <v>0</v>
      </c>
      <c r="N33" s="1794"/>
      <c r="O33" s="1794"/>
      <c r="P33" s="1804">
        <f t="shared" si="3"/>
        <v>0</v>
      </c>
      <c r="Q33" s="1794"/>
      <c r="R33" s="1794"/>
      <c r="S33" s="1794"/>
      <c r="T33" s="1796"/>
      <c r="U33" s="1781"/>
      <c r="V33" s="1797">
        <f t="shared" si="4"/>
        <v>0</v>
      </c>
      <c r="W33" s="1797"/>
      <c r="X33" s="1762"/>
    </row>
    <row r="34" spans="1:24" ht="13.2">
      <c r="A34" s="1773"/>
      <c r="B34" s="1798"/>
      <c r="C34" s="1799"/>
      <c r="D34" s="1800">
        <f t="shared" si="0"/>
        <v>0</v>
      </c>
      <c r="E34" s="1801" t="s">
        <v>1049</v>
      </c>
      <c r="F34" s="1801">
        <v>96</v>
      </c>
      <c r="G34" s="1802"/>
      <c r="H34" s="1803"/>
      <c r="I34" s="1803"/>
      <c r="J34" s="1803"/>
      <c r="K34" s="1803"/>
      <c r="L34" s="1804">
        <f t="shared" si="6"/>
        <v>0</v>
      </c>
      <c r="M34" s="1804">
        <f t="shared" si="2"/>
        <v>0</v>
      </c>
      <c r="N34" s="1803"/>
      <c r="O34" s="1803"/>
      <c r="P34" s="1804">
        <f t="shared" si="3"/>
        <v>0</v>
      </c>
      <c r="Q34" s="1803"/>
      <c r="R34" s="1803"/>
      <c r="S34" s="1803"/>
      <c r="T34" s="1805"/>
      <c r="U34" s="1781"/>
      <c r="V34" s="1797">
        <f t="shared" si="4"/>
        <v>0</v>
      </c>
      <c r="W34" s="1797"/>
      <c r="X34" s="1762"/>
    </row>
    <row r="35" spans="1:24" ht="13.2">
      <c r="A35" s="1773"/>
      <c r="B35" s="1789">
        <v>1</v>
      </c>
      <c r="C35" s="1790"/>
      <c r="D35" s="1800">
        <f t="shared" si="0"/>
        <v>1</v>
      </c>
      <c r="E35" s="1801" t="s">
        <v>1050</v>
      </c>
      <c r="F35" s="1801">
        <v>97</v>
      </c>
      <c r="G35" s="1793">
        <v>14380</v>
      </c>
      <c r="H35" s="1794">
        <v>12980</v>
      </c>
      <c r="I35" s="1794">
        <v>12980</v>
      </c>
      <c r="J35" s="1794">
        <v>65</v>
      </c>
      <c r="K35" s="1794">
        <v>1400</v>
      </c>
      <c r="L35" s="1804">
        <f t="shared" si="6"/>
        <v>13045</v>
      </c>
      <c r="M35" s="1804">
        <f t="shared" si="2"/>
        <v>14380</v>
      </c>
      <c r="N35" s="1794">
        <v>1335</v>
      </c>
      <c r="O35" s="1794"/>
      <c r="P35" s="1804">
        <f t="shared" si="3"/>
        <v>1335</v>
      </c>
      <c r="Q35" s="1794"/>
      <c r="R35" s="1794">
        <v>1335</v>
      </c>
      <c r="S35" s="1794"/>
      <c r="T35" s="1796"/>
      <c r="U35" s="1781"/>
      <c r="V35" s="1797">
        <f t="shared" si="4"/>
        <v>0</v>
      </c>
      <c r="W35" s="1797"/>
      <c r="X35" s="1762"/>
    </row>
    <row r="36" spans="1:24" ht="13.2">
      <c r="A36" s="1773"/>
      <c r="B36" s="1798"/>
      <c r="C36" s="1799"/>
      <c r="D36" s="1800">
        <f t="shared" si="0"/>
        <v>0</v>
      </c>
      <c r="E36" s="1801" t="s">
        <v>1051</v>
      </c>
      <c r="F36" s="1801">
        <v>98</v>
      </c>
      <c r="G36" s="1802"/>
      <c r="H36" s="1803"/>
      <c r="I36" s="1803"/>
      <c r="J36" s="1803"/>
      <c r="K36" s="1803"/>
      <c r="L36" s="1804">
        <f t="shared" si="6"/>
        <v>0</v>
      </c>
      <c r="M36" s="1804">
        <f t="shared" si="2"/>
        <v>0</v>
      </c>
      <c r="N36" s="1803"/>
      <c r="O36" s="1803"/>
      <c r="P36" s="1804">
        <f t="shared" si="3"/>
        <v>0</v>
      </c>
      <c r="Q36" s="1803"/>
      <c r="R36" s="1803"/>
      <c r="S36" s="1803"/>
      <c r="T36" s="1805"/>
      <c r="U36" s="1781"/>
      <c r="V36" s="1797">
        <f t="shared" si="4"/>
        <v>0</v>
      </c>
      <c r="W36" s="1797"/>
      <c r="X36" s="1762"/>
    </row>
    <row r="37" spans="1:24" ht="13.2">
      <c r="A37" s="1773"/>
      <c r="B37" s="1789">
        <v>1</v>
      </c>
      <c r="C37" s="1790"/>
      <c r="D37" s="1800">
        <f t="shared" si="0"/>
        <v>1</v>
      </c>
      <c r="E37" s="1801" t="s">
        <v>1052</v>
      </c>
      <c r="F37" s="1801">
        <v>99</v>
      </c>
      <c r="G37" s="1793">
        <v>15133</v>
      </c>
      <c r="H37" s="1794">
        <v>15133</v>
      </c>
      <c r="I37" s="1794">
        <v>15133</v>
      </c>
      <c r="J37" s="1794"/>
      <c r="K37" s="1794"/>
      <c r="L37" s="1804">
        <f t="shared" si="6"/>
        <v>15133</v>
      </c>
      <c r="M37" s="1804">
        <f t="shared" si="2"/>
        <v>15133</v>
      </c>
      <c r="N37" s="1794"/>
      <c r="O37" s="1794"/>
      <c r="P37" s="1804">
        <f t="shared" si="3"/>
        <v>0</v>
      </c>
      <c r="Q37" s="1794"/>
      <c r="R37" s="1794"/>
      <c r="S37" s="1794"/>
      <c r="T37" s="1796"/>
      <c r="U37" s="1781"/>
      <c r="V37" s="1797">
        <f t="shared" si="4"/>
        <v>0</v>
      </c>
      <c r="W37" s="1797"/>
      <c r="X37" s="1762"/>
    </row>
    <row r="38" spans="1:24" ht="13.2">
      <c r="A38" s="1773"/>
      <c r="B38" s="1798"/>
      <c r="C38" s="1799"/>
      <c r="D38" s="1808">
        <f t="shared" si="0"/>
        <v>0</v>
      </c>
      <c r="E38" s="1809" t="s">
        <v>350</v>
      </c>
      <c r="F38" s="1801"/>
      <c r="G38" s="1802"/>
      <c r="H38" s="1803"/>
      <c r="I38" s="1803"/>
      <c r="J38" s="1803"/>
      <c r="K38" s="1803"/>
      <c r="L38" s="1810">
        <f t="shared" si="6"/>
        <v>0</v>
      </c>
      <c r="M38" s="1810">
        <f t="shared" si="2"/>
        <v>0</v>
      </c>
      <c r="N38" s="1803"/>
      <c r="O38" s="1803"/>
      <c r="P38" s="1810">
        <f t="shared" si="3"/>
        <v>0</v>
      </c>
      <c r="Q38" s="1803"/>
      <c r="R38" s="1803"/>
      <c r="S38" s="1803"/>
      <c r="T38" s="1805"/>
      <c r="U38" s="1781"/>
      <c r="V38" s="1797">
        <f t="shared" si="4"/>
        <v>0</v>
      </c>
      <c r="W38" s="1797"/>
      <c r="X38" s="1762"/>
    </row>
    <row r="39" spans="1:24" s="1821" customFormat="1" ht="13.2">
      <c r="A39" s="1811"/>
      <c r="B39" s="1812">
        <f>SUM(B9:B38)</f>
        <v>373</v>
      </c>
      <c r="C39" s="1813">
        <f>SUM(C9:C38)</f>
        <v>69</v>
      </c>
      <c r="D39" s="1814">
        <f>SUM(D9:D38)</f>
        <v>442</v>
      </c>
      <c r="E39" s="1815" t="s">
        <v>782</v>
      </c>
      <c r="F39" s="1815"/>
      <c r="G39" s="1816">
        <f t="shared" ref="G39:T39" si="7">SUM(G9:G38)</f>
        <v>1801849</v>
      </c>
      <c r="H39" s="1817">
        <f t="shared" si="7"/>
        <v>1338077</v>
      </c>
      <c r="I39" s="1817">
        <f t="shared" si="7"/>
        <v>1464735</v>
      </c>
      <c r="J39" s="1817">
        <f t="shared" si="7"/>
        <v>171966</v>
      </c>
      <c r="K39" s="1817">
        <f t="shared" si="7"/>
        <v>321430</v>
      </c>
      <c r="L39" s="1817">
        <f t="shared" si="7"/>
        <v>1510043</v>
      </c>
      <c r="M39" s="1817">
        <f t="shared" si="7"/>
        <v>1786165</v>
      </c>
      <c r="N39" s="1817">
        <f t="shared" si="7"/>
        <v>283185</v>
      </c>
      <c r="O39" s="1817">
        <f t="shared" si="7"/>
        <v>7063</v>
      </c>
      <c r="P39" s="1817">
        <f t="shared" si="7"/>
        <v>276122</v>
      </c>
      <c r="Q39" s="1817">
        <f t="shared" si="7"/>
        <v>0</v>
      </c>
      <c r="R39" s="1817">
        <f t="shared" si="7"/>
        <v>291806</v>
      </c>
      <c r="S39" s="1817">
        <f t="shared" si="7"/>
        <v>15684</v>
      </c>
      <c r="T39" s="1818">
        <f t="shared" si="7"/>
        <v>0</v>
      </c>
      <c r="U39" s="1819"/>
      <c r="V39" s="1797">
        <f t="shared" si="4"/>
        <v>0</v>
      </c>
      <c r="W39" s="1797"/>
      <c r="X39" s="1820"/>
    </row>
    <row r="40" spans="1:24" ht="13.2">
      <c r="A40" s="1773"/>
      <c r="B40" s="3009"/>
      <c r="C40" s="1822">
        <v>69</v>
      </c>
      <c r="D40" s="3006">
        <f t="shared" si="0"/>
        <v>69</v>
      </c>
      <c r="E40" s="1801" t="s">
        <v>1053</v>
      </c>
      <c r="F40" s="1801"/>
      <c r="G40" s="1794">
        <v>103505</v>
      </c>
      <c r="H40" s="3010"/>
      <c r="I40" s="3010"/>
      <c r="J40" s="3010"/>
      <c r="K40" s="3010"/>
      <c r="L40" s="1794">
        <v>103505</v>
      </c>
      <c r="M40" s="1794">
        <v>103505</v>
      </c>
      <c r="N40" s="3010"/>
      <c r="O40" s="3010"/>
      <c r="P40" s="3010"/>
      <c r="Q40" s="1794"/>
      <c r="R40" s="1794"/>
      <c r="S40" s="1794"/>
      <c r="T40" s="1823"/>
      <c r="U40" s="1781"/>
      <c r="V40" s="1797">
        <f t="shared" si="4"/>
        <v>0</v>
      </c>
      <c r="W40" s="1797"/>
      <c r="X40" s="1762"/>
    </row>
    <row r="41" spans="1:24" ht="13.8" thickBot="1">
      <c r="A41" s="1773"/>
      <c r="B41" s="1824">
        <f>B39-B40</f>
        <v>373</v>
      </c>
      <c r="C41" s="1825">
        <f>C39-C40</f>
        <v>0</v>
      </c>
      <c r="D41" s="1826">
        <f>D39-D40</f>
        <v>373</v>
      </c>
      <c r="E41" s="1815" t="s">
        <v>551</v>
      </c>
      <c r="F41" s="1815"/>
      <c r="G41" s="1827">
        <f t="shared" ref="G41:T41" si="8">G39-G40</f>
        <v>1698344</v>
      </c>
      <c r="H41" s="1825">
        <f t="shared" si="8"/>
        <v>1338077</v>
      </c>
      <c r="I41" s="1825">
        <f t="shared" si="8"/>
        <v>1464735</v>
      </c>
      <c r="J41" s="1825">
        <f t="shared" si="8"/>
        <v>171966</v>
      </c>
      <c r="K41" s="1825">
        <f t="shared" si="8"/>
        <v>321430</v>
      </c>
      <c r="L41" s="1825">
        <f t="shared" si="8"/>
        <v>1406538</v>
      </c>
      <c r="M41" s="1825">
        <f t="shared" si="8"/>
        <v>1682660</v>
      </c>
      <c r="N41" s="1825">
        <f t="shared" si="8"/>
        <v>283185</v>
      </c>
      <c r="O41" s="1825">
        <f t="shared" si="8"/>
        <v>7063</v>
      </c>
      <c r="P41" s="1825">
        <f t="shared" si="8"/>
        <v>276122</v>
      </c>
      <c r="Q41" s="1825">
        <f t="shared" si="8"/>
        <v>0</v>
      </c>
      <c r="R41" s="1825">
        <f t="shared" si="8"/>
        <v>291806</v>
      </c>
      <c r="S41" s="1825">
        <f t="shared" si="8"/>
        <v>15684</v>
      </c>
      <c r="T41" s="1828">
        <f t="shared" si="8"/>
        <v>0</v>
      </c>
      <c r="U41" s="1781"/>
      <c r="V41" s="1797">
        <f t="shared" si="4"/>
        <v>0</v>
      </c>
      <c r="W41" s="1797"/>
      <c r="X41" s="1762"/>
    </row>
    <row r="42" spans="1:24" ht="18.899999999999999" customHeight="1" thickTop="1">
      <c r="A42" s="1773"/>
      <c r="B42" s="1829"/>
      <c r="C42" s="1830"/>
      <c r="D42" s="1830"/>
      <c r="E42" s="1830"/>
      <c r="F42" s="1830"/>
      <c r="G42" s="1831"/>
      <c r="H42" s="1832"/>
      <c r="I42" s="1832"/>
      <c r="J42" s="1832"/>
      <c r="K42" s="1832"/>
      <c r="L42" s="1832"/>
      <c r="M42" s="1832"/>
      <c r="N42" s="1832"/>
      <c r="O42" s="1832"/>
      <c r="P42" s="1832"/>
      <c r="Q42" s="1832"/>
      <c r="R42" s="1832"/>
      <c r="S42" s="1832"/>
      <c r="T42" s="1833"/>
      <c r="U42" s="1781"/>
      <c r="V42" s="1766"/>
      <c r="W42" s="1766"/>
      <c r="X42" s="1762"/>
    </row>
    <row r="43" spans="1:24" ht="20.100000000000001" customHeight="1">
      <c r="A43" s="1773"/>
      <c r="B43" s="1766"/>
      <c r="C43" s="1766"/>
      <c r="D43" s="1766"/>
      <c r="E43" s="1766"/>
      <c r="F43" s="1766"/>
      <c r="G43" s="1834"/>
      <c r="H43" s="1835"/>
      <c r="I43" s="1835"/>
      <c r="J43" s="1835"/>
      <c r="K43" s="1835"/>
      <c r="L43" s="1835"/>
      <c r="M43" s="1835"/>
      <c r="N43" s="1835"/>
      <c r="O43" s="1835"/>
      <c r="P43" s="1835"/>
      <c r="Q43" s="1835"/>
      <c r="R43" s="1835"/>
      <c r="S43" s="1835"/>
      <c r="T43" s="1835"/>
      <c r="U43" s="1781"/>
      <c r="V43" s="1766"/>
      <c r="W43" s="1766"/>
      <c r="X43" s="1762"/>
    </row>
    <row r="44" spans="1:24" ht="20.100000000000001" customHeight="1" thickBot="1">
      <c r="A44" s="1773"/>
      <c r="B44" s="1766"/>
      <c r="C44" s="1766"/>
      <c r="D44" s="1766"/>
      <c r="E44" s="1836"/>
      <c r="F44" s="1766"/>
      <c r="G44" s="1834"/>
      <c r="H44" s="1835"/>
      <c r="I44" s="1835"/>
      <c r="J44" s="1835"/>
      <c r="K44" s="1835"/>
      <c r="L44" s="1835"/>
      <c r="M44" s="1835"/>
      <c r="N44" s="1835"/>
      <c r="O44" s="1835"/>
      <c r="P44" s="1835"/>
      <c r="Q44" s="1835"/>
      <c r="R44" s="1835"/>
      <c r="S44" s="1835"/>
      <c r="T44" s="1835"/>
      <c r="U44" s="1781"/>
      <c r="V44" s="1766"/>
      <c r="W44" s="1837"/>
      <c r="X44" s="1762"/>
    </row>
    <row r="45" spans="1:24" ht="20.100000000000001" customHeight="1" thickTop="1">
      <c r="A45" s="1838"/>
      <c r="B45" s="1838"/>
      <c r="C45" s="1838"/>
      <c r="D45" s="1838"/>
      <c r="E45" s="1838"/>
      <c r="F45" s="1838"/>
      <c r="G45" s="1839"/>
      <c r="H45" s="1840"/>
      <c r="I45" s="1840"/>
      <c r="J45" s="1840"/>
      <c r="K45" s="1840"/>
      <c r="L45" s="1840"/>
      <c r="M45" s="1840"/>
      <c r="N45" s="1840"/>
      <c r="O45" s="1840"/>
      <c r="P45" s="1840"/>
      <c r="Q45" s="1840"/>
      <c r="R45" s="1840"/>
      <c r="S45" s="1840"/>
      <c r="T45" s="1840"/>
      <c r="U45" s="1838"/>
      <c r="V45" s="1838"/>
      <c r="W45" s="1763"/>
    </row>
    <row r="46" spans="1:24" ht="20.100000000000001" customHeight="1">
      <c r="H46" s="1843"/>
      <c r="I46" s="1843"/>
      <c r="J46" s="1843"/>
      <c r="K46" s="1843"/>
      <c r="L46" s="1843"/>
      <c r="M46" s="1843"/>
      <c r="N46" s="1843"/>
      <c r="O46" s="1843"/>
      <c r="P46" s="1843"/>
      <c r="Q46" s="1843"/>
      <c r="R46" s="1843"/>
      <c r="S46" s="1843"/>
      <c r="T46" s="1843"/>
    </row>
    <row r="47" spans="1:24" ht="20.100000000000001" customHeight="1">
      <c r="H47" s="1843"/>
      <c r="I47" s="1843"/>
      <c r="J47" s="1843"/>
      <c r="K47" s="1843"/>
      <c r="L47" s="1843"/>
      <c r="M47" s="1843"/>
      <c r="N47" s="1843"/>
      <c r="O47" s="1843"/>
      <c r="P47" s="1843"/>
      <c r="Q47" s="1843"/>
      <c r="R47" s="1843"/>
      <c r="S47" s="1843"/>
      <c r="T47" s="1843"/>
    </row>
    <row r="48" spans="1:24" ht="20.100000000000001" customHeight="1">
      <c r="H48" s="1843"/>
      <c r="I48" s="1843"/>
      <c r="J48" s="1843"/>
      <c r="K48" s="1843"/>
      <c r="L48" s="1843"/>
      <c r="M48" s="1843"/>
      <c r="N48" s="1843"/>
      <c r="O48" s="1843"/>
      <c r="P48" s="1843"/>
      <c r="Q48" s="1843"/>
      <c r="R48" s="1843"/>
      <c r="S48" s="1843"/>
      <c r="T48" s="1843"/>
    </row>
    <row r="49" spans="8:20" ht="20.100000000000001" customHeight="1">
      <c r="H49" s="1843"/>
      <c r="I49" s="1843"/>
      <c r="J49" s="1843"/>
      <c r="K49" s="1843"/>
      <c r="L49" s="1843"/>
      <c r="M49" s="1843"/>
      <c r="N49" s="1843"/>
      <c r="O49" s="1843"/>
      <c r="P49" s="1843"/>
      <c r="Q49" s="1843"/>
      <c r="R49" s="1843"/>
      <c r="S49" s="1843"/>
      <c r="T49" s="1843"/>
    </row>
    <row r="194" spans="2:20" ht="20.100000000000001" customHeight="1">
      <c r="B194" s="3649" t="str">
        <f>F1</f>
        <v>עירית הרצליה</v>
      </c>
      <c r="C194" s="3649"/>
      <c r="D194" s="3649"/>
      <c r="E194" s="3649"/>
      <c r="F194" s="3649"/>
      <c r="G194" s="3649"/>
      <c r="H194" s="3649"/>
      <c r="I194" s="3649"/>
      <c r="J194" s="3649"/>
      <c r="K194" s="3649"/>
      <c r="L194" s="3649"/>
      <c r="M194" s="3649"/>
      <c r="N194" s="3649"/>
      <c r="O194" s="3649"/>
      <c r="P194" s="3649"/>
      <c r="Q194" s="3649"/>
      <c r="R194" s="3649"/>
      <c r="S194" s="3649"/>
      <c r="T194" s="3649"/>
    </row>
    <row r="195" spans="2:20" ht="20.100000000000001" customHeight="1">
      <c r="B195" s="3649" t="str">
        <f>F2</f>
        <v>ריכוז התקבולים והתשלומים של התקציב הבלתי רגיל לפי פרקי תקציב לשנת הכספים 2015</v>
      </c>
      <c r="C195" s="3649"/>
      <c r="D195" s="3649"/>
      <c r="E195" s="3649"/>
      <c r="F195" s="3649"/>
      <c r="G195" s="3649"/>
      <c r="H195" s="3649"/>
      <c r="I195" s="3649"/>
      <c r="J195" s="3649"/>
      <c r="K195" s="3649"/>
      <c r="L195" s="3649"/>
      <c r="M195" s="3649"/>
      <c r="N195" s="3649"/>
      <c r="O195" s="3649"/>
      <c r="P195" s="3649"/>
      <c r="Q195" s="3649"/>
      <c r="R195" s="3649"/>
      <c r="S195" s="3649"/>
      <c r="T195" s="3649"/>
    </row>
    <row r="196" spans="2:20" ht="20.100000000000001" customHeight="1">
      <c r="B196" s="3649" t="str">
        <f>F3</f>
        <v>(אלפי ש"ח)</v>
      </c>
      <c r="C196" s="3649"/>
      <c r="D196" s="3649"/>
      <c r="E196" s="3649"/>
      <c r="F196" s="3649"/>
      <c r="G196" s="3649"/>
      <c r="H196" s="3649"/>
      <c r="I196" s="3649"/>
      <c r="J196" s="3649"/>
      <c r="K196" s="3649"/>
      <c r="L196" s="3649"/>
      <c r="M196" s="3649"/>
      <c r="N196" s="3649"/>
      <c r="O196" s="3649"/>
      <c r="P196" s="3649"/>
      <c r="Q196" s="3649"/>
      <c r="R196" s="3649"/>
      <c r="S196" s="3649"/>
      <c r="T196" s="3649"/>
    </row>
    <row r="199" spans="2:20" ht="18" customHeight="1">
      <c r="B199" s="1844">
        <f t="shared" ref="B199:P199" si="9">B5</f>
        <v>0</v>
      </c>
      <c r="C199" s="1845">
        <f t="shared" si="9"/>
        <v>0</v>
      </c>
      <c r="D199" s="1846">
        <f t="shared" si="9"/>
        <v>0</v>
      </c>
      <c r="E199" s="1846">
        <f t="shared" si="9"/>
        <v>0</v>
      </c>
      <c r="F199" s="1846">
        <f t="shared" si="9"/>
        <v>0</v>
      </c>
      <c r="G199" s="1846">
        <f t="shared" si="9"/>
        <v>0</v>
      </c>
      <c r="H199" s="1844">
        <f t="shared" si="9"/>
        <v>0</v>
      </c>
      <c r="I199" s="1845">
        <f t="shared" si="9"/>
        <v>0</v>
      </c>
      <c r="J199" s="1844">
        <f t="shared" si="9"/>
        <v>0</v>
      </c>
      <c r="K199" s="1845">
        <f t="shared" si="9"/>
        <v>0</v>
      </c>
      <c r="L199" s="1844">
        <f t="shared" si="9"/>
        <v>0</v>
      </c>
      <c r="M199" s="1845">
        <f t="shared" si="9"/>
        <v>0</v>
      </c>
      <c r="N199" s="1846">
        <f t="shared" si="9"/>
        <v>0</v>
      </c>
      <c r="O199" s="1846">
        <f t="shared" si="9"/>
        <v>0</v>
      </c>
      <c r="P199" s="1846">
        <f t="shared" si="9"/>
        <v>0</v>
      </c>
      <c r="Q199" s="2823" t="s">
        <v>1054</v>
      </c>
      <c r="R199" s="2824" t="s">
        <v>1055</v>
      </c>
      <c r="S199" s="2825" t="s">
        <v>1054</v>
      </c>
      <c r="T199" s="2824" t="s">
        <v>998</v>
      </c>
    </row>
    <row r="200" spans="2:20" ht="18" customHeight="1">
      <c r="B200" s="2809" t="s">
        <v>822</v>
      </c>
      <c r="C200" s="2810" t="s">
        <v>1005</v>
      </c>
      <c r="D200" s="2811" t="str">
        <f t="shared" ref="D200:G202" si="10">D6</f>
        <v>סה"כ</v>
      </c>
      <c r="E200" s="2811" t="str">
        <f t="shared" si="10"/>
        <v>הפרק התקציבי</v>
      </c>
      <c r="F200" s="2811" t="str">
        <f t="shared" si="10"/>
        <v xml:space="preserve">מס' </v>
      </c>
      <c r="G200" s="2812" t="str">
        <f t="shared" si="10"/>
        <v xml:space="preserve">התקציב </v>
      </c>
      <c r="H200" s="2813" t="s">
        <v>1056</v>
      </c>
      <c r="I200" s="2814" t="str">
        <f>CONCATENATE('הגדרות כלליות'!D18,".",'הגדרות כלליות'!D12)</f>
        <v>31.12.2014</v>
      </c>
      <c r="J200" s="2813" t="s">
        <v>1057</v>
      </c>
      <c r="K200" s="3124">
        <f>'הגדרות כלליות'!D10</f>
        <v>2015</v>
      </c>
      <c r="L200" s="2816" t="s">
        <v>894</v>
      </c>
      <c r="M200" s="2815" t="s">
        <v>1058</v>
      </c>
      <c r="N200" s="2811" t="str">
        <f t="shared" ref="N200:T209" si="11">N6</f>
        <v>עודף</v>
      </c>
      <c r="O200" s="2811" t="str">
        <f t="shared" si="11"/>
        <v>עודף</v>
      </c>
      <c r="P200" s="2811" t="str">
        <f t="shared" si="11"/>
        <v>עודף</v>
      </c>
      <c r="Q200" s="2817" t="str">
        <f t="shared" si="11"/>
        <v>עקב</v>
      </c>
      <c r="R200" s="2817" t="str">
        <f t="shared" si="11"/>
        <v>עקב</v>
      </c>
      <c r="S200" s="2817" t="str">
        <f t="shared" si="11"/>
        <v>עקב</v>
      </c>
      <c r="T200" s="2817" t="str">
        <f t="shared" si="11"/>
        <v>עקב</v>
      </c>
    </row>
    <row r="201" spans="2:20" ht="18" customHeight="1">
      <c r="B201" s="2817">
        <f t="shared" ref="B201:C220" si="12">B7</f>
        <v>0</v>
      </c>
      <c r="C201" s="2817">
        <f t="shared" si="12"/>
        <v>0</v>
      </c>
      <c r="D201" s="2811" t="str">
        <f t="shared" si="10"/>
        <v>תב"רים</v>
      </c>
      <c r="E201" s="2811">
        <f t="shared" si="10"/>
        <v>0</v>
      </c>
      <c r="F201" s="2811" t="str">
        <f t="shared" si="10"/>
        <v>פרק</v>
      </c>
      <c r="G201" s="2812" t="str">
        <f t="shared" si="10"/>
        <v>המאושר</v>
      </c>
      <c r="H201" s="2818"/>
      <c r="I201" s="2819"/>
      <c r="J201" s="2818"/>
      <c r="K201" s="2819"/>
      <c r="L201" s="2818"/>
      <c r="M201" s="2819"/>
      <c r="N201" s="2811" t="str">
        <f t="shared" si="11"/>
        <v xml:space="preserve">הכנסות </v>
      </c>
      <c r="O201" s="2811" t="str">
        <f t="shared" si="11"/>
        <v xml:space="preserve">הוצאות </v>
      </c>
      <c r="P201" s="2811" t="str">
        <f t="shared" si="11"/>
        <v>(גרעון)</v>
      </c>
      <c r="Q201" s="2811" t="str">
        <f t="shared" si="11"/>
        <v>הכנסות</v>
      </c>
      <c r="R201" s="2811" t="str">
        <f t="shared" si="11"/>
        <v>הוצאות</v>
      </c>
      <c r="S201" s="2811" t="str">
        <f t="shared" si="11"/>
        <v xml:space="preserve">הכנסות </v>
      </c>
      <c r="T201" s="2811" t="str">
        <f t="shared" si="11"/>
        <v>הוצאות</v>
      </c>
    </row>
    <row r="202" spans="2:20" ht="18" customHeight="1">
      <c r="B202" s="2820" t="str">
        <f t="shared" si="12"/>
        <v>פתוחים</v>
      </c>
      <c r="C202" s="2820" t="str">
        <f t="shared" si="12"/>
        <v>סגורים</v>
      </c>
      <c r="D202" s="2820">
        <f t="shared" si="10"/>
        <v>0</v>
      </c>
      <c r="E202" s="2820">
        <f t="shared" si="10"/>
        <v>0</v>
      </c>
      <c r="F202" s="2820">
        <f t="shared" si="10"/>
        <v>0</v>
      </c>
      <c r="G202" s="2821">
        <f t="shared" si="10"/>
        <v>0</v>
      </c>
      <c r="H202" s="2822" t="str">
        <f t="shared" ref="H202:M211" si="13">H8</f>
        <v>הוצאות</v>
      </c>
      <c r="I202" s="2822" t="str">
        <f t="shared" si="13"/>
        <v>הכנסות</v>
      </c>
      <c r="J202" s="2822" t="str">
        <f t="shared" si="13"/>
        <v>הוצאות</v>
      </c>
      <c r="K202" s="2822" t="str">
        <f t="shared" si="13"/>
        <v>הכנסות</v>
      </c>
      <c r="L202" s="2822" t="str">
        <f t="shared" si="13"/>
        <v>הוצאות</v>
      </c>
      <c r="M202" s="2822" t="str">
        <f t="shared" si="13"/>
        <v>הכנסות</v>
      </c>
      <c r="N202" s="2820" t="str">
        <f t="shared" si="11"/>
        <v>ברוטו</v>
      </c>
      <c r="O202" s="2820" t="str">
        <f t="shared" si="11"/>
        <v>ברוטו</v>
      </c>
      <c r="P202" s="2820" t="str">
        <f t="shared" si="11"/>
        <v>נטו</v>
      </c>
      <c r="Q202" s="2820" t="str">
        <f t="shared" si="11"/>
        <v>מעל</v>
      </c>
      <c r="R202" s="2820" t="str">
        <f t="shared" si="11"/>
        <v>מתחת</v>
      </c>
      <c r="S202" s="2820" t="str">
        <f t="shared" si="11"/>
        <v>מתחת</v>
      </c>
      <c r="T202" s="2820" t="str">
        <f t="shared" si="11"/>
        <v>מעל</v>
      </c>
    </row>
    <row r="203" spans="2:20" ht="18" customHeight="1">
      <c r="B203" s="1847">
        <f t="shared" si="12"/>
        <v>1</v>
      </c>
      <c r="C203" s="1847">
        <f t="shared" si="12"/>
        <v>0</v>
      </c>
      <c r="D203" s="1847">
        <f t="shared" ref="D203:D236" si="14">D9</f>
        <v>1</v>
      </c>
      <c r="E203" s="1848" t="str">
        <f t="shared" ref="E203:E231" si="15">IF(AND($B9=0,$C9=0,$G9=0,$H9=0,$I9=0,$J9=0,$K9=0,$O9=0,$N9=0,$Q9=0,$R9=0,$S9=0,$T9=0),"",$E9)</f>
        <v>מנהל כללי</v>
      </c>
      <c r="F203" s="1849">
        <f t="shared" ref="F203:F231" si="16">IF(AND($B9=0,$C9=0,$G9=0,$H9=0,$I9=0,$J9=0,$K9=0,$O9=0,$N9=0,$Q9=0,$R9=0,$S9=0,$T9=0),"",$F9)</f>
        <v>61</v>
      </c>
      <c r="G203" s="1847">
        <f t="shared" ref="G203:G236" si="17">G9</f>
        <v>2460</v>
      </c>
      <c r="H203" s="1847">
        <f t="shared" si="13"/>
        <v>1627</v>
      </c>
      <c r="I203" s="1847">
        <f t="shared" si="13"/>
        <v>2260</v>
      </c>
      <c r="J203" s="1847">
        <f t="shared" si="13"/>
        <v>151</v>
      </c>
      <c r="K203" s="1847">
        <f t="shared" si="13"/>
        <v>200</v>
      </c>
      <c r="L203" s="1847">
        <f t="shared" si="13"/>
        <v>1778</v>
      </c>
      <c r="M203" s="1847">
        <f t="shared" si="13"/>
        <v>2460</v>
      </c>
      <c r="N203" s="1847">
        <f t="shared" si="11"/>
        <v>682</v>
      </c>
      <c r="O203" s="1847">
        <f t="shared" si="11"/>
        <v>0</v>
      </c>
      <c r="P203" s="1847">
        <f t="shared" si="11"/>
        <v>682</v>
      </c>
      <c r="Q203" s="1847">
        <f t="shared" si="11"/>
        <v>0</v>
      </c>
      <c r="R203" s="1847">
        <f t="shared" si="11"/>
        <v>682</v>
      </c>
      <c r="S203" s="1847">
        <f t="shared" si="11"/>
        <v>0</v>
      </c>
      <c r="T203" s="1847">
        <f t="shared" si="11"/>
        <v>0</v>
      </c>
    </row>
    <row r="204" spans="2:20" ht="18" customHeight="1">
      <c r="B204" s="1847">
        <f t="shared" si="12"/>
        <v>1</v>
      </c>
      <c r="C204" s="1847">
        <f t="shared" si="12"/>
        <v>0</v>
      </c>
      <c r="D204" s="1847">
        <f t="shared" si="14"/>
        <v>1</v>
      </c>
      <c r="E204" s="1848" t="str">
        <f t="shared" si="15"/>
        <v>מנהל כספי</v>
      </c>
      <c r="F204" s="1849">
        <f t="shared" si="16"/>
        <v>62</v>
      </c>
      <c r="G204" s="1847">
        <f t="shared" si="17"/>
        <v>120</v>
      </c>
      <c r="H204" s="1847">
        <f t="shared" si="13"/>
        <v>34</v>
      </c>
      <c r="I204" s="1847">
        <f t="shared" si="13"/>
        <v>120</v>
      </c>
      <c r="J204" s="1847">
        <f t="shared" si="13"/>
        <v>0</v>
      </c>
      <c r="K204" s="1847">
        <f t="shared" si="13"/>
        <v>0</v>
      </c>
      <c r="L204" s="1847">
        <f t="shared" si="13"/>
        <v>34</v>
      </c>
      <c r="M204" s="1847">
        <f t="shared" si="13"/>
        <v>120</v>
      </c>
      <c r="N204" s="1847">
        <f t="shared" si="11"/>
        <v>86</v>
      </c>
      <c r="O204" s="1847">
        <f t="shared" si="11"/>
        <v>0</v>
      </c>
      <c r="P204" s="1847">
        <f t="shared" si="11"/>
        <v>86</v>
      </c>
      <c r="Q204" s="1847">
        <f t="shared" si="11"/>
        <v>0</v>
      </c>
      <c r="R204" s="1847">
        <f t="shared" si="11"/>
        <v>86</v>
      </c>
      <c r="S204" s="1847">
        <f t="shared" si="11"/>
        <v>0</v>
      </c>
      <c r="T204" s="1847">
        <f t="shared" si="11"/>
        <v>0</v>
      </c>
    </row>
    <row r="205" spans="2:20" ht="18" customHeight="1">
      <c r="B205" s="1847">
        <f t="shared" si="12"/>
        <v>0</v>
      </c>
      <c r="C205" s="1847">
        <f t="shared" si="12"/>
        <v>0</v>
      </c>
      <c r="D205" s="1847">
        <f t="shared" si="14"/>
        <v>0</v>
      </c>
      <c r="E205" s="1848" t="str">
        <f t="shared" si="15"/>
        <v/>
      </c>
      <c r="F205" s="1849" t="str">
        <f t="shared" si="16"/>
        <v/>
      </c>
      <c r="G205" s="1847">
        <f t="shared" si="17"/>
        <v>0</v>
      </c>
      <c r="H205" s="1847">
        <f t="shared" si="13"/>
        <v>0</v>
      </c>
      <c r="I205" s="1847">
        <f t="shared" si="13"/>
        <v>0</v>
      </c>
      <c r="J205" s="1847">
        <f t="shared" si="13"/>
        <v>0</v>
      </c>
      <c r="K205" s="1847">
        <f t="shared" si="13"/>
        <v>0</v>
      </c>
      <c r="L205" s="1847">
        <f t="shared" si="13"/>
        <v>0</v>
      </c>
      <c r="M205" s="1847">
        <f t="shared" si="13"/>
        <v>0</v>
      </c>
      <c r="N205" s="1847">
        <f t="shared" si="11"/>
        <v>0</v>
      </c>
      <c r="O205" s="1847">
        <f t="shared" si="11"/>
        <v>0</v>
      </c>
      <c r="P205" s="1847">
        <f t="shared" si="11"/>
        <v>0</v>
      </c>
      <c r="Q205" s="1847">
        <f t="shared" si="11"/>
        <v>0</v>
      </c>
      <c r="R205" s="1847">
        <f t="shared" si="11"/>
        <v>0</v>
      </c>
      <c r="S205" s="1847">
        <f t="shared" si="11"/>
        <v>0</v>
      </c>
      <c r="T205" s="1847">
        <f t="shared" si="11"/>
        <v>0</v>
      </c>
    </row>
    <row r="206" spans="2:20" ht="18" customHeight="1">
      <c r="B206" s="1847">
        <f t="shared" si="12"/>
        <v>0</v>
      </c>
      <c r="C206" s="1847">
        <f t="shared" si="12"/>
        <v>0</v>
      </c>
      <c r="D206" s="1847">
        <f t="shared" si="14"/>
        <v>0</v>
      </c>
      <c r="E206" s="1848" t="str">
        <f t="shared" si="15"/>
        <v/>
      </c>
      <c r="F206" s="1849" t="str">
        <f t="shared" si="16"/>
        <v/>
      </c>
      <c r="G206" s="1847">
        <f t="shared" si="17"/>
        <v>0</v>
      </c>
      <c r="H206" s="1847">
        <f t="shared" si="13"/>
        <v>0</v>
      </c>
      <c r="I206" s="1847">
        <f t="shared" si="13"/>
        <v>0</v>
      </c>
      <c r="J206" s="1847">
        <f t="shared" si="13"/>
        <v>0</v>
      </c>
      <c r="K206" s="1847">
        <f t="shared" si="13"/>
        <v>0</v>
      </c>
      <c r="L206" s="1847">
        <f t="shared" si="13"/>
        <v>0</v>
      </c>
      <c r="M206" s="1847">
        <f t="shared" si="13"/>
        <v>0</v>
      </c>
      <c r="N206" s="1847">
        <f t="shared" si="11"/>
        <v>0</v>
      </c>
      <c r="O206" s="1847">
        <f t="shared" si="11"/>
        <v>0</v>
      </c>
      <c r="P206" s="1847">
        <f t="shared" si="11"/>
        <v>0</v>
      </c>
      <c r="Q206" s="1847">
        <f t="shared" si="11"/>
        <v>0</v>
      </c>
      <c r="R206" s="1847">
        <f t="shared" si="11"/>
        <v>0</v>
      </c>
      <c r="S206" s="1847">
        <f t="shared" si="11"/>
        <v>0</v>
      </c>
      <c r="T206" s="1847">
        <f t="shared" si="11"/>
        <v>0</v>
      </c>
    </row>
    <row r="207" spans="2:20" ht="18" customHeight="1">
      <c r="B207" s="1847">
        <f t="shared" si="12"/>
        <v>1</v>
      </c>
      <c r="C207" s="1847">
        <f t="shared" si="12"/>
        <v>0</v>
      </c>
      <c r="D207" s="1847">
        <f t="shared" si="14"/>
        <v>1</v>
      </c>
      <c r="E207" s="1848" t="str">
        <f t="shared" si="15"/>
        <v>תברואה</v>
      </c>
      <c r="F207" s="1849">
        <f t="shared" si="16"/>
        <v>71</v>
      </c>
      <c r="G207" s="1847">
        <f t="shared" si="17"/>
        <v>5700</v>
      </c>
      <c r="H207" s="1847">
        <f t="shared" si="13"/>
        <v>474</v>
      </c>
      <c r="I207" s="1847">
        <f t="shared" si="13"/>
        <v>650</v>
      </c>
      <c r="J207" s="1847">
        <f t="shared" si="13"/>
        <v>1073</v>
      </c>
      <c r="K207" s="1847">
        <f t="shared" si="13"/>
        <v>5050</v>
      </c>
      <c r="L207" s="1847">
        <f t="shared" si="13"/>
        <v>1547</v>
      </c>
      <c r="M207" s="1847">
        <f t="shared" si="13"/>
        <v>5700</v>
      </c>
      <c r="N207" s="1847">
        <f t="shared" si="11"/>
        <v>4153</v>
      </c>
      <c r="O207" s="1847">
        <f t="shared" si="11"/>
        <v>0</v>
      </c>
      <c r="P207" s="1847">
        <f t="shared" si="11"/>
        <v>4153</v>
      </c>
      <c r="Q207" s="1847">
        <f t="shared" si="11"/>
        <v>0</v>
      </c>
      <c r="R207" s="1847">
        <f t="shared" si="11"/>
        <v>4153</v>
      </c>
      <c r="S207" s="1847">
        <f t="shared" si="11"/>
        <v>0</v>
      </c>
      <c r="T207" s="1847">
        <f t="shared" si="11"/>
        <v>0</v>
      </c>
    </row>
    <row r="208" spans="2:20" ht="18" customHeight="1">
      <c r="B208" s="1847">
        <f t="shared" si="12"/>
        <v>7</v>
      </c>
      <c r="C208" s="1847">
        <f t="shared" si="12"/>
        <v>1</v>
      </c>
      <c r="D208" s="1847">
        <f t="shared" si="14"/>
        <v>8</v>
      </c>
      <c r="E208" s="1848" t="str">
        <f t="shared" si="15"/>
        <v>שמירה ובטחון</v>
      </c>
      <c r="F208" s="1849">
        <f t="shared" si="16"/>
        <v>72</v>
      </c>
      <c r="G208" s="1847">
        <f t="shared" si="17"/>
        <v>16020</v>
      </c>
      <c r="H208" s="1847">
        <f t="shared" si="13"/>
        <v>14527</v>
      </c>
      <c r="I208" s="1847">
        <f t="shared" si="13"/>
        <v>15820</v>
      </c>
      <c r="J208" s="1847">
        <f t="shared" si="13"/>
        <v>1083</v>
      </c>
      <c r="K208" s="1847">
        <f t="shared" si="13"/>
        <v>200</v>
      </c>
      <c r="L208" s="1847">
        <f t="shared" si="13"/>
        <v>15610</v>
      </c>
      <c r="M208" s="1847">
        <f t="shared" si="13"/>
        <v>16020</v>
      </c>
      <c r="N208" s="1847">
        <f t="shared" si="11"/>
        <v>410</v>
      </c>
      <c r="O208" s="1847">
        <f t="shared" si="11"/>
        <v>0</v>
      </c>
      <c r="P208" s="1847">
        <f t="shared" si="11"/>
        <v>410</v>
      </c>
      <c r="Q208" s="1847">
        <f t="shared" si="11"/>
        <v>0</v>
      </c>
      <c r="R208" s="1847">
        <f t="shared" si="11"/>
        <v>410</v>
      </c>
      <c r="S208" s="1847">
        <f t="shared" si="11"/>
        <v>0</v>
      </c>
      <c r="T208" s="1847">
        <f t="shared" si="11"/>
        <v>0</v>
      </c>
    </row>
    <row r="209" spans="2:20" ht="18" customHeight="1">
      <c r="B209" s="1847">
        <f t="shared" si="12"/>
        <v>49</v>
      </c>
      <c r="C209" s="1847">
        <f t="shared" si="12"/>
        <v>13</v>
      </c>
      <c r="D209" s="1847">
        <f t="shared" si="14"/>
        <v>62</v>
      </c>
      <c r="E209" s="1848" t="str">
        <f t="shared" si="15"/>
        <v>תכנון ובנין עיר</v>
      </c>
      <c r="F209" s="1849">
        <f t="shared" si="16"/>
        <v>73</v>
      </c>
      <c r="G209" s="1847">
        <f t="shared" si="17"/>
        <v>149155</v>
      </c>
      <c r="H209" s="1847">
        <f t="shared" si="13"/>
        <v>132297</v>
      </c>
      <c r="I209" s="1847">
        <f t="shared" si="13"/>
        <v>147622</v>
      </c>
      <c r="J209" s="1847">
        <f t="shared" si="13"/>
        <v>-7094</v>
      </c>
      <c r="K209" s="1847">
        <f t="shared" si="13"/>
        <v>-1049</v>
      </c>
      <c r="L209" s="1847">
        <f t="shared" si="13"/>
        <v>125203</v>
      </c>
      <c r="M209" s="1847">
        <f t="shared" si="13"/>
        <v>146573</v>
      </c>
      <c r="N209" s="1847">
        <f t="shared" si="11"/>
        <v>21395</v>
      </c>
      <c r="O209" s="1847">
        <f t="shared" si="11"/>
        <v>25</v>
      </c>
      <c r="P209" s="1847">
        <f t="shared" si="11"/>
        <v>21370</v>
      </c>
      <c r="Q209" s="1847">
        <f t="shared" si="11"/>
        <v>0</v>
      </c>
      <c r="R209" s="1847">
        <f t="shared" si="11"/>
        <v>23952</v>
      </c>
      <c r="S209" s="1847">
        <f t="shared" si="11"/>
        <v>2582</v>
      </c>
      <c r="T209" s="1847">
        <f t="shared" si="11"/>
        <v>0</v>
      </c>
    </row>
    <row r="210" spans="2:20" ht="18" customHeight="1">
      <c r="B210" s="1847">
        <f t="shared" si="12"/>
        <v>156</v>
      </c>
      <c r="C210" s="1847">
        <f t="shared" si="12"/>
        <v>26</v>
      </c>
      <c r="D210" s="1847">
        <f t="shared" si="14"/>
        <v>182</v>
      </c>
      <c r="E210" s="1848" t="str">
        <f t="shared" si="15"/>
        <v>נכסים ציבוריים</v>
      </c>
      <c r="F210" s="1849">
        <f t="shared" si="16"/>
        <v>74</v>
      </c>
      <c r="G210" s="1847">
        <f t="shared" si="17"/>
        <v>783621</v>
      </c>
      <c r="H210" s="1847">
        <f t="shared" si="13"/>
        <v>566237</v>
      </c>
      <c r="I210" s="1847">
        <f t="shared" si="13"/>
        <v>646779</v>
      </c>
      <c r="J210" s="1847">
        <f t="shared" si="13"/>
        <v>76714</v>
      </c>
      <c r="K210" s="1847">
        <f t="shared" si="13"/>
        <v>135232</v>
      </c>
      <c r="L210" s="1847">
        <f t="shared" si="13"/>
        <v>642951</v>
      </c>
      <c r="M210" s="1847">
        <f t="shared" si="13"/>
        <v>782011</v>
      </c>
      <c r="N210" s="1847">
        <f t="shared" ref="N210:T219" si="18">N16</f>
        <v>139820</v>
      </c>
      <c r="O210" s="1847">
        <f t="shared" si="18"/>
        <v>760</v>
      </c>
      <c r="P210" s="1847">
        <f t="shared" si="18"/>
        <v>139060</v>
      </c>
      <c r="Q210" s="1847">
        <f t="shared" si="18"/>
        <v>0</v>
      </c>
      <c r="R210" s="1847">
        <f t="shared" si="18"/>
        <v>140670</v>
      </c>
      <c r="S210" s="1847">
        <f t="shared" si="18"/>
        <v>1610</v>
      </c>
      <c r="T210" s="1847">
        <f t="shared" si="18"/>
        <v>0</v>
      </c>
    </row>
    <row r="211" spans="2:20" ht="18" customHeight="1">
      <c r="B211" s="1847">
        <f t="shared" si="12"/>
        <v>0</v>
      </c>
      <c r="C211" s="1847">
        <f t="shared" si="12"/>
        <v>0</v>
      </c>
      <c r="D211" s="1847">
        <f t="shared" si="14"/>
        <v>0</v>
      </c>
      <c r="E211" s="1848" t="str">
        <f t="shared" si="15"/>
        <v/>
      </c>
      <c r="F211" s="1849" t="str">
        <f t="shared" si="16"/>
        <v/>
      </c>
      <c r="G211" s="1847">
        <f t="shared" si="17"/>
        <v>0</v>
      </c>
      <c r="H211" s="1847">
        <f t="shared" si="13"/>
        <v>0</v>
      </c>
      <c r="I211" s="1847">
        <f t="shared" si="13"/>
        <v>0</v>
      </c>
      <c r="J211" s="1847">
        <f t="shared" si="13"/>
        <v>0</v>
      </c>
      <c r="K211" s="1847">
        <f t="shared" si="13"/>
        <v>0</v>
      </c>
      <c r="L211" s="1847">
        <f t="shared" si="13"/>
        <v>0</v>
      </c>
      <c r="M211" s="1847">
        <f t="shared" si="13"/>
        <v>0</v>
      </c>
      <c r="N211" s="1847">
        <f t="shared" si="18"/>
        <v>0</v>
      </c>
      <c r="O211" s="1847">
        <f t="shared" si="18"/>
        <v>0</v>
      </c>
      <c r="P211" s="1847">
        <f t="shared" si="18"/>
        <v>0</v>
      </c>
      <c r="Q211" s="1847">
        <f t="shared" si="18"/>
        <v>0</v>
      </c>
      <c r="R211" s="1847">
        <f t="shared" si="18"/>
        <v>0</v>
      </c>
      <c r="S211" s="1847">
        <f t="shared" si="18"/>
        <v>0</v>
      </c>
      <c r="T211" s="1847">
        <f t="shared" si="18"/>
        <v>0</v>
      </c>
    </row>
    <row r="212" spans="2:20" ht="18" customHeight="1">
      <c r="B212" s="1847">
        <f t="shared" si="12"/>
        <v>15</v>
      </c>
      <c r="C212" s="1847">
        <f t="shared" si="12"/>
        <v>2</v>
      </c>
      <c r="D212" s="1847">
        <f t="shared" si="14"/>
        <v>17</v>
      </c>
      <c r="E212" s="1848" t="str">
        <f t="shared" si="15"/>
        <v>שירותים עירוניים שונים</v>
      </c>
      <c r="F212" s="1849">
        <f t="shared" si="16"/>
        <v>76</v>
      </c>
      <c r="G212" s="1847">
        <f t="shared" si="17"/>
        <v>75750</v>
      </c>
      <c r="H212" s="1847">
        <f t="shared" ref="H212:M221" si="19">H18</f>
        <v>61444</v>
      </c>
      <c r="I212" s="1847">
        <f t="shared" si="19"/>
        <v>64365</v>
      </c>
      <c r="J212" s="1847">
        <f t="shared" si="19"/>
        <v>8651</v>
      </c>
      <c r="K212" s="1847">
        <f t="shared" si="19"/>
        <v>11385</v>
      </c>
      <c r="L212" s="1847">
        <f t="shared" si="19"/>
        <v>70095</v>
      </c>
      <c r="M212" s="1847">
        <f t="shared" si="19"/>
        <v>75750</v>
      </c>
      <c r="N212" s="1847">
        <f t="shared" si="18"/>
        <v>5655</v>
      </c>
      <c r="O212" s="1847">
        <f t="shared" si="18"/>
        <v>0</v>
      </c>
      <c r="P212" s="1847">
        <f t="shared" si="18"/>
        <v>5655</v>
      </c>
      <c r="Q212" s="1847">
        <f t="shared" si="18"/>
        <v>0</v>
      </c>
      <c r="R212" s="1847">
        <f t="shared" si="18"/>
        <v>5655</v>
      </c>
      <c r="S212" s="1847">
        <f t="shared" si="18"/>
        <v>0</v>
      </c>
      <c r="T212" s="1847">
        <f t="shared" si="18"/>
        <v>0</v>
      </c>
    </row>
    <row r="213" spans="2:20" ht="18" customHeight="1">
      <c r="B213" s="1847">
        <f t="shared" si="12"/>
        <v>0</v>
      </c>
      <c r="C213" s="1847">
        <f t="shared" si="12"/>
        <v>0</v>
      </c>
      <c r="D213" s="1847">
        <f t="shared" si="14"/>
        <v>0</v>
      </c>
      <c r="E213" s="1848" t="str">
        <f t="shared" si="15"/>
        <v/>
      </c>
      <c r="F213" s="1849" t="str">
        <f t="shared" si="16"/>
        <v/>
      </c>
      <c r="G213" s="1847">
        <f t="shared" si="17"/>
        <v>0</v>
      </c>
      <c r="H213" s="1847">
        <f t="shared" si="19"/>
        <v>0</v>
      </c>
      <c r="I213" s="1847">
        <f t="shared" si="19"/>
        <v>0</v>
      </c>
      <c r="J213" s="1847">
        <f t="shared" si="19"/>
        <v>0</v>
      </c>
      <c r="K213" s="1847">
        <f t="shared" si="19"/>
        <v>0</v>
      </c>
      <c r="L213" s="1847">
        <f t="shared" si="19"/>
        <v>0</v>
      </c>
      <c r="M213" s="1847">
        <f t="shared" si="19"/>
        <v>0</v>
      </c>
      <c r="N213" s="1847">
        <f t="shared" si="18"/>
        <v>0</v>
      </c>
      <c r="O213" s="1847">
        <f t="shared" si="18"/>
        <v>0</v>
      </c>
      <c r="P213" s="1847">
        <f t="shared" si="18"/>
        <v>0</v>
      </c>
      <c r="Q213" s="1847">
        <f t="shared" si="18"/>
        <v>0</v>
      </c>
      <c r="R213" s="1847">
        <f t="shared" si="18"/>
        <v>0</v>
      </c>
      <c r="S213" s="1847">
        <f t="shared" si="18"/>
        <v>0</v>
      </c>
      <c r="T213" s="1847">
        <f t="shared" si="18"/>
        <v>0</v>
      </c>
    </row>
    <row r="214" spans="2:20" ht="18" customHeight="1">
      <c r="B214" s="1847">
        <f t="shared" si="12"/>
        <v>0</v>
      </c>
      <c r="C214" s="1847">
        <f t="shared" si="12"/>
        <v>0</v>
      </c>
      <c r="D214" s="1847">
        <f t="shared" si="14"/>
        <v>0</v>
      </c>
      <c r="E214" s="1848" t="str">
        <f t="shared" si="15"/>
        <v/>
      </c>
      <c r="F214" s="1849" t="str">
        <f t="shared" si="16"/>
        <v/>
      </c>
      <c r="G214" s="1847">
        <f t="shared" si="17"/>
        <v>0</v>
      </c>
      <c r="H214" s="1847">
        <f t="shared" si="19"/>
        <v>0</v>
      </c>
      <c r="I214" s="1847">
        <f t="shared" si="19"/>
        <v>0</v>
      </c>
      <c r="J214" s="1847">
        <f t="shared" si="19"/>
        <v>0</v>
      </c>
      <c r="K214" s="1847">
        <f t="shared" si="19"/>
        <v>0</v>
      </c>
      <c r="L214" s="1847">
        <f t="shared" si="19"/>
        <v>0</v>
      </c>
      <c r="M214" s="1847">
        <f t="shared" si="19"/>
        <v>0</v>
      </c>
      <c r="N214" s="1847">
        <f t="shared" si="18"/>
        <v>0</v>
      </c>
      <c r="O214" s="1847">
        <f t="shared" si="18"/>
        <v>0</v>
      </c>
      <c r="P214" s="1847">
        <f t="shared" si="18"/>
        <v>0</v>
      </c>
      <c r="Q214" s="1847">
        <f t="shared" si="18"/>
        <v>0</v>
      </c>
      <c r="R214" s="1847">
        <f t="shared" si="18"/>
        <v>0</v>
      </c>
      <c r="S214" s="1847">
        <f t="shared" si="18"/>
        <v>0</v>
      </c>
      <c r="T214" s="1847">
        <f t="shared" si="18"/>
        <v>0</v>
      </c>
    </row>
    <row r="215" spans="2:20" ht="18" customHeight="1">
      <c r="B215" s="1847">
        <f t="shared" si="12"/>
        <v>0</v>
      </c>
      <c r="C215" s="1847">
        <f t="shared" si="12"/>
        <v>0</v>
      </c>
      <c r="D215" s="1847">
        <f t="shared" si="14"/>
        <v>0</v>
      </c>
      <c r="E215" s="1848" t="str">
        <f t="shared" si="15"/>
        <v/>
      </c>
      <c r="F215" s="1849" t="str">
        <f t="shared" si="16"/>
        <v/>
      </c>
      <c r="G215" s="1847">
        <f t="shared" si="17"/>
        <v>0</v>
      </c>
      <c r="H215" s="1847">
        <f t="shared" si="19"/>
        <v>0</v>
      </c>
      <c r="I215" s="1847">
        <f t="shared" si="19"/>
        <v>0</v>
      </c>
      <c r="J215" s="1847">
        <f t="shared" si="19"/>
        <v>0</v>
      </c>
      <c r="K215" s="1847">
        <f t="shared" si="19"/>
        <v>0</v>
      </c>
      <c r="L215" s="1847">
        <f t="shared" si="19"/>
        <v>0</v>
      </c>
      <c r="M215" s="1847">
        <f t="shared" si="19"/>
        <v>0</v>
      </c>
      <c r="N215" s="1847">
        <f t="shared" si="18"/>
        <v>0</v>
      </c>
      <c r="O215" s="1847">
        <f t="shared" si="18"/>
        <v>0</v>
      </c>
      <c r="P215" s="1847">
        <f t="shared" si="18"/>
        <v>0</v>
      </c>
      <c r="Q215" s="1847">
        <f t="shared" si="18"/>
        <v>0</v>
      </c>
      <c r="R215" s="1847">
        <f t="shared" si="18"/>
        <v>0</v>
      </c>
      <c r="S215" s="1847">
        <f t="shared" si="18"/>
        <v>0</v>
      </c>
      <c r="T215" s="1847">
        <f t="shared" si="18"/>
        <v>0</v>
      </c>
    </row>
    <row r="216" spans="2:20" ht="18" customHeight="1">
      <c r="B216" s="1847">
        <f t="shared" si="12"/>
        <v>56</v>
      </c>
      <c r="C216" s="1847">
        <f t="shared" si="12"/>
        <v>5</v>
      </c>
      <c r="D216" s="1847">
        <f t="shared" si="14"/>
        <v>61</v>
      </c>
      <c r="E216" s="1848" t="str">
        <f t="shared" si="15"/>
        <v>חינוך</v>
      </c>
      <c r="F216" s="1849">
        <f t="shared" si="16"/>
        <v>81</v>
      </c>
      <c r="G216" s="1847">
        <f t="shared" si="17"/>
        <v>380144</v>
      </c>
      <c r="H216" s="1847">
        <f t="shared" si="19"/>
        <v>314809</v>
      </c>
      <c r="I216" s="1847">
        <f t="shared" si="19"/>
        <v>323645</v>
      </c>
      <c r="J216" s="1847">
        <f t="shared" si="19"/>
        <v>36196</v>
      </c>
      <c r="K216" s="1847">
        <f t="shared" si="19"/>
        <v>50531</v>
      </c>
      <c r="L216" s="1847">
        <f t="shared" si="19"/>
        <v>351005</v>
      </c>
      <c r="M216" s="1847">
        <f t="shared" si="19"/>
        <v>374176</v>
      </c>
      <c r="N216" s="1847">
        <f t="shared" si="18"/>
        <v>24221</v>
      </c>
      <c r="O216" s="1847">
        <f t="shared" si="18"/>
        <v>1050</v>
      </c>
      <c r="P216" s="1847">
        <f t="shared" si="18"/>
        <v>23171</v>
      </c>
      <c r="Q216" s="1847">
        <f t="shared" si="18"/>
        <v>0</v>
      </c>
      <c r="R216" s="1847">
        <f t="shared" si="18"/>
        <v>29138</v>
      </c>
      <c r="S216" s="1847">
        <f t="shared" si="18"/>
        <v>5967</v>
      </c>
      <c r="T216" s="1847">
        <f t="shared" si="18"/>
        <v>0</v>
      </c>
    </row>
    <row r="217" spans="2:20" ht="18" customHeight="1">
      <c r="B217" s="1847">
        <f t="shared" si="12"/>
        <v>33</v>
      </c>
      <c r="C217" s="1847">
        <f t="shared" si="12"/>
        <v>8</v>
      </c>
      <c r="D217" s="1847">
        <f t="shared" si="14"/>
        <v>41</v>
      </c>
      <c r="E217" s="1848" t="str">
        <f t="shared" si="15"/>
        <v>תרבות</v>
      </c>
      <c r="F217" s="1849">
        <f t="shared" si="16"/>
        <v>82</v>
      </c>
      <c r="G217" s="1847">
        <f t="shared" si="17"/>
        <v>64196</v>
      </c>
      <c r="H217" s="1847">
        <f t="shared" si="19"/>
        <v>47046</v>
      </c>
      <c r="I217" s="1847">
        <f t="shared" si="19"/>
        <v>52022</v>
      </c>
      <c r="J217" s="1847">
        <f t="shared" si="19"/>
        <v>5084</v>
      </c>
      <c r="K217" s="1847">
        <f t="shared" si="19"/>
        <v>11525</v>
      </c>
      <c r="L217" s="1847">
        <f t="shared" si="19"/>
        <v>52130</v>
      </c>
      <c r="M217" s="1847">
        <f t="shared" si="19"/>
        <v>63547</v>
      </c>
      <c r="N217" s="1847">
        <f t="shared" si="18"/>
        <v>11996</v>
      </c>
      <c r="O217" s="1847">
        <f t="shared" si="18"/>
        <v>579</v>
      </c>
      <c r="P217" s="1847">
        <f t="shared" si="18"/>
        <v>11417</v>
      </c>
      <c r="Q217" s="1847">
        <f t="shared" si="18"/>
        <v>0</v>
      </c>
      <c r="R217" s="1847">
        <f t="shared" si="18"/>
        <v>12067</v>
      </c>
      <c r="S217" s="1847">
        <f t="shared" si="18"/>
        <v>650</v>
      </c>
      <c r="T217" s="1847">
        <f t="shared" si="18"/>
        <v>0</v>
      </c>
    </row>
    <row r="218" spans="2:20" ht="18" customHeight="1">
      <c r="B218" s="1847">
        <f t="shared" si="12"/>
        <v>0</v>
      </c>
      <c r="C218" s="1847">
        <f t="shared" si="12"/>
        <v>0</v>
      </c>
      <c r="D218" s="1847">
        <f t="shared" si="14"/>
        <v>0</v>
      </c>
      <c r="E218" s="1848" t="str">
        <f t="shared" si="15"/>
        <v/>
      </c>
      <c r="F218" s="1849" t="str">
        <f t="shared" si="16"/>
        <v/>
      </c>
      <c r="G218" s="1847">
        <f t="shared" si="17"/>
        <v>0</v>
      </c>
      <c r="H218" s="1847">
        <f t="shared" si="19"/>
        <v>0</v>
      </c>
      <c r="I218" s="1847">
        <f t="shared" si="19"/>
        <v>0</v>
      </c>
      <c r="J218" s="1847">
        <f t="shared" si="19"/>
        <v>0</v>
      </c>
      <c r="K218" s="1847">
        <f t="shared" si="19"/>
        <v>0</v>
      </c>
      <c r="L218" s="1847">
        <f t="shared" si="19"/>
        <v>0</v>
      </c>
      <c r="M218" s="1847">
        <f t="shared" si="19"/>
        <v>0</v>
      </c>
      <c r="N218" s="1847">
        <f t="shared" si="18"/>
        <v>0</v>
      </c>
      <c r="O218" s="1847">
        <f t="shared" si="18"/>
        <v>0</v>
      </c>
      <c r="P218" s="1847">
        <f t="shared" si="18"/>
        <v>0</v>
      </c>
      <c r="Q218" s="1847">
        <f t="shared" si="18"/>
        <v>0</v>
      </c>
      <c r="R218" s="1847">
        <f t="shared" si="18"/>
        <v>0</v>
      </c>
      <c r="S218" s="1847">
        <f t="shared" si="18"/>
        <v>0</v>
      </c>
      <c r="T218" s="1847">
        <f t="shared" si="18"/>
        <v>0</v>
      </c>
    </row>
    <row r="219" spans="2:20" ht="18" customHeight="1">
      <c r="B219" s="1847">
        <f t="shared" si="12"/>
        <v>2</v>
      </c>
      <c r="C219" s="1847">
        <f t="shared" si="12"/>
        <v>0</v>
      </c>
      <c r="D219" s="1847">
        <f t="shared" si="14"/>
        <v>2</v>
      </c>
      <c r="E219" s="1848" t="str">
        <f t="shared" si="15"/>
        <v>רווחה</v>
      </c>
      <c r="F219" s="1849">
        <f t="shared" si="16"/>
        <v>84</v>
      </c>
      <c r="G219" s="1847">
        <f t="shared" si="17"/>
        <v>13650</v>
      </c>
      <c r="H219" s="1847">
        <f t="shared" si="19"/>
        <v>9104</v>
      </c>
      <c r="I219" s="1847">
        <f t="shared" si="19"/>
        <v>10650</v>
      </c>
      <c r="J219" s="1847">
        <f t="shared" si="19"/>
        <v>3133</v>
      </c>
      <c r="K219" s="1847">
        <f t="shared" si="19"/>
        <v>3000</v>
      </c>
      <c r="L219" s="1847">
        <f t="shared" si="19"/>
        <v>12237</v>
      </c>
      <c r="M219" s="1847">
        <f t="shared" si="19"/>
        <v>13650</v>
      </c>
      <c r="N219" s="1847">
        <f t="shared" si="18"/>
        <v>1413</v>
      </c>
      <c r="O219" s="1847">
        <f t="shared" si="18"/>
        <v>0</v>
      </c>
      <c r="P219" s="1847">
        <f t="shared" si="18"/>
        <v>1413</v>
      </c>
      <c r="Q219" s="1847">
        <f t="shared" si="18"/>
        <v>0</v>
      </c>
      <c r="R219" s="1847">
        <f t="shared" si="18"/>
        <v>1413</v>
      </c>
      <c r="S219" s="1847">
        <f t="shared" si="18"/>
        <v>0</v>
      </c>
      <c r="T219" s="1847">
        <f t="shared" si="18"/>
        <v>0</v>
      </c>
    </row>
    <row r="220" spans="2:20" ht="18" customHeight="1">
      <c r="B220" s="1847">
        <f t="shared" si="12"/>
        <v>5</v>
      </c>
      <c r="C220" s="1847">
        <f t="shared" si="12"/>
        <v>2</v>
      </c>
      <c r="D220" s="1847">
        <f t="shared" si="14"/>
        <v>7</v>
      </c>
      <c r="E220" s="1848" t="str">
        <f t="shared" si="15"/>
        <v>דת</v>
      </c>
      <c r="F220" s="1849">
        <f t="shared" si="16"/>
        <v>85</v>
      </c>
      <c r="G220" s="1847">
        <f t="shared" si="17"/>
        <v>10283</v>
      </c>
      <c r="H220" s="1847">
        <f t="shared" si="19"/>
        <v>7060</v>
      </c>
      <c r="I220" s="1847">
        <f t="shared" si="19"/>
        <v>7216</v>
      </c>
      <c r="J220" s="1847">
        <f t="shared" si="19"/>
        <v>2473</v>
      </c>
      <c r="K220" s="1847">
        <f t="shared" si="19"/>
        <v>1430</v>
      </c>
      <c r="L220" s="1847">
        <f t="shared" si="19"/>
        <v>9533</v>
      </c>
      <c r="M220" s="1847">
        <f t="shared" si="19"/>
        <v>8646</v>
      </c>
      <c r="N220" s="1847">
        <f t="shared" ref="N220:T229" si="20">N26</f>
        <v>711</v>
      </c>
      <c r="O220" s="1847">
        <f t="shared" si="20"/>
        <v>1598</v>
      </c>
      <c r="P220" s="1847">
        <f t="shared" si="20"/>
        <v>-887</v>
      </c>
      <c r="Q220" s="1847">
        <f t="shared" si="20"/>
        <v>0</v>
      </c>
      <c r="R220" s="1847">
        <f t="shared" si="20"/>
        <v>750</v>
      </c>
      <c r="S220" s="1847">
        <f t="shared" si="20"/>
        <v>1637</v>
      </c>
      <c r="T220" s="1847">
        <f t="shared" si="20"/>
        <v>0</v>
      </c>
    </row>
    <row r="221" spans="2:20" ht="18" customHeight="1">
      <c r="B221" s="1847">
        <f t="shared" ref="B221:C236" si="21">B27</f>
        <v>0</v>
      </c>
      <c r="C221" s="1847">
        <f t="shared" si="21"/>
        <v>0</v>
      </c>
      <c r="D221" s="1847">
        <f t="shared" si="14"/>
        <v>0</v>
      </c>
      <c r="E221" s="1848" t="str">
        <f t="shared" si="15"/>
        <v/>
      </c>
      <c r="F221" s="1849" t="str">
        <f t="shared" si="16"/>
        <v/>
      </c>
      <c r="G221" s="1847">
        <f t="shared" si="17"/>
        <v>0</v>
      </c>
      <c r="H221" s="1847">
        <f t="shared" si="19"/>
        <v>0</v>
      </c>
      <c r="I221" s="1847">
        <f t="shared" si="19"/>
        <v>0</v>
      </c>
      <c r="J221" s="1847">
        <f t="shared" si="19"/>
        <v>0</v>
      </c>
      <c r="K221" s="1847">
        <f t="shared" si="19"/>
        <v>0</v>
      </c>
      <c r="L221" s="1847">
        <f t="shared" si="19"/>
        <v>0</v>
      </c>
      <c r="M221" s="1847">
        <f t="shared" si="19"/>
        <v>0</v>
      </c>
      <c r="N221" s="1847">
        <f t="shared" si="20"/>
        <v>0</v>
      </c>
      <c r="O221" s="1847">
        <f t="shared" si="20"/>
        <v>0</v>
      </c>
      <c r="P221" s="1847">
        <f t="shared" si="20"/>
        <v>0</v>
      </c>
      <c r="Q221" s="1847">
        <f t="shared" si="20"/>
        <v>0</v>
      </c>
      <c r="R221" s="1847">
        <f t="shared" si="20"/>
        <v>0</v>
      </c>
      <c r="S221" s="1847">
        <f t="shared" si="20"/>
        <v>0</v>
      </c>
      <c r="T221" s="1847">
        <f t="shared" si="20"/>
        <v>0</v>
      </c>
    </row>
    <row r="222" spans="2:20" ht="18" customHeight="1">
      <c r="B222" s="1847">
        <f t="shared" si="21"/>
        <v>13</v>
      </c>
      <c r="C222" s="1847">
        <f t="shared" si="21"/>
        <v>0</v>
      </c>
      <c r="D222" s="1847">
        <f t="shared" si="14"/>
        <v>13</v>
      </c>
      <c r="E222" s="1848" t="str">
        <f t="shared" si="15"/>
        <v>איכות הסביבה</v>
      </c>
      <c r="F222" s="1849">
        <f t="shared" si="16"/>
        <v>87</v>
      </c>
      <c r="G222" s="1847">
        <f t="shared" si="17"/>
        <v>53097</v>
      </c>
      <c r="H222" s="1847">
        <f t="shared" ref="H222:M231" si="22">H28</f>
        <v>47338</v>
      </c>
      <c r="I222" s="1847">
        <f t="shared" si="22"/>
        <v>44308</v>
      </c>
      <c r="J222" s="1847">
        <f t="shared" si="22"/>
        <v>4455</v>
      </c>
      <c r="K222" s="1847">
        <f t="shared" si="22"/>
        <v>5551</v>
      </c>
      <c r="L222" s="1847">
        <f t="shared" si="22"/>
        <v>51793</v>
      </c>
      <c r="M222" s="1847">
        <f t="shared" si="22"/>
        <v>49859</v>
      </c>
      <c r="N222" s="1847">
        <f t="shared" si="20"/>
        <v>1117</v>
      </c>
      <c r="O222" s="1847">
        <f t="shared" si="20"/>
        <v>3051</v>
      </c>
      <c r="P222" s="1847">
        <f t="shared" si="20"/>
        <v>-1934</v>
      </c>
      <c r="Q222" s="1847">
        <f t="shared" si="20"/>
        <v>0</v>
      </c>
      <c r="R222" s="1847">
        <f t="shared" si="20"/>
        <v>1304</v>
      </c>
      <c r="S222" s="1847">
        <f t="shared" si="20"/>
        <v>3238</v>
      </c>
      <c r="T222" s="1847">
        <f t="shared" si="20"/>
        <v>0</v>
      </c>
    </row>
    <row r="223" spans="2:20" ht="18" customHeight="1">
      <c r="B223" s="1847">
        <f t="shared" si="21"/>
        <v>0</v>
      </c>
      <c r="C223" s="1847">
        <f t="shared" si="21"/>
        <v>0</v>
      </c>
      <c r="D223" s="1847">
        <f t="shared" si="14"/>
        <v>0</v>
      </c>
      <c r="E223" s="1848" t="str">
        <f t="shared" si="15"/>
        <v/>
      </c>
      <c r="F223" s="1849" t="str">
        <f t="shared" si="16"/>
        <v/>
      </c>
      <c r="G223" s="1847">
        <f t="shared" si="17"/>
        <v>0</v>
      </c>
      <c r="H223" s="1847">
        <f t="shared" si="22"/>
        <v>0</v>
      </c>
      <c r="I223" s="1847">
        <f t="shared" si="22"/>
        <v>0</v>
      </c>
      <c r="J223" s="1847">
        <f t="shared" si="22"/>
        <v>0</v>
      </c>
      <c r="K223" s="1847">
        <f t="shared" si="22"/>
        <v>0</v>
      </c>
      <c r="L223" s="1847">
        <f t="shared" si="22"/>
        <v>0</v>
      </c>
      <c r="M223" s="1847">
        <f t="shared" si="22"/>
        <v>0</v>
      </c>
      <c r="N223" s="1847">
        <f t="shared" si="20"/>
        <v>0</v>
      </c>
      <c r="O223" s="1847">
        <f t="shared" si="20"/>
        <v>0</v>
      </c>
      <c r="P223" s="1847">
        <f t="shared" si="20"/>
        <v>0</v>
      </c>
      <c r="Q223" s="1847">
        <f t="shared" si="20"/>
        <v>0</v>
      </c>
      <c r="R223" s="1847">
        <f t="shared" si="20"/>
        <v>0</v>
      </c>
      <c r="S223" s="1847">
        <f t="shared" si="20"/>
        <v>0</v>
      </c>
      <c r="T223" s="1847">
        <f t="shared" si="20"/>
        <v>0</v>
      </c>
    </row>
    <row r="224" spans="2:20" ht="18" customHeight="1">
      <c r="B224" s="1847">
        <f t="shared" si="21"/>
        <v>0</v>
      </c>
      <c r="C224" s="1847">
        <f t="shared" si="21"/>
        <v>0</v>
      </c>
      <c r="D224" s="1847">
        <f t="shared" si="14"/>
        <v>0</v>
      </c>
      <c r="E224" s="1848" t="str">
        <f t="shared" si="15"/>
        <v/>
      </c>
      <c r="F224" s="1849" t="str">
        <f t="shared" si="16"/>
        <v/>
      </c>
      <c r="G224" s="1847">
        <f t="shared" si="17"/>
        <v>0</v>
      </c>
      <c r="H224" s="1847">
        <f t="shared" si="22"/>
        <v>0</v>
      </c>
      <c r="I224" s="1847">
        <f t="shared" si="22"/>
        <v>0</v>
      </c>
      <c r="J224" s="1847">
        <f t="shared" si="22"/>
        <v>0</v>
      </c>
      <c r="K224" s="1847">
        <f t="shared" si="22"/>
        <v>0</v>
      </c>
      <c r="L224" s="1847">
        <f t="shared" si="22"/>
        <v>0</v>
      </c>
      <c r="M224" s="1847">
        <f t="shared" si="22"/>
        <v>0</v>
      </c>
      <c r="N224" s="1847">
        <f t="shared" si="20"/>
        <v>0</v>
      </c>
      <c r="O224" s="1847">
        <f t="shared" si="20"/>
        <v>0</v>
      </c>
      <c r="P224" s="1847">
        <f t="shared" si="20"/>
        <v>0</v>
      </c>
      <c r="Q224" s="1847">
        <f t="shared" si="20"/>
        <v>0</v>
      </c>
      <c r="R224" s="1847">
        <f t="shared" si="20"/>
        <v>0</v>
      </c>
      <c r="S224" s="1847">
        <f t="shared" si="20"/>
        <v>0</v>
      </c>
      <c r="T224" s="1847">
        <f t="shared" si="20"/>
        <v>0</v>
      </c>
    </row>
    <row r="225" spans="2:20" ht="18" customHeight="1">
      <c r="B225" s="1847">
        <f t="shared" si="21"/>
        <v>32</v>
      </c>
      <c r="C225" s="1847">
        <f t="shared" si="21"/>
        <v>12</v>
      </c>
      <c r="D225" s="1847">
        <f t="shared" si="14"/>
        <v>44</v>
      </c>
      <c r="E225" s="1848" t="str">
        <f t="shared" si="15"/>
        <v>נכסים</v>
      </c>
      <c r="F225" s="1849">
        <f t="shared" si="16"/>
        <v>93</v>
      </c>
      <c r="G225" s="1847">
        <f t="shared" si="17"/>
        <v>218140</v>
      </c>
      <c r="H225" s="1847">
        <f t="shared" si="22"/>
        <v>107967</v>
      </c>
      <c r="I225" s="1847">
        <f t="shared" si="22"/>
        <v>121165</v>
      </c>
      <c r="J225" s="1847">
        <f t="shared" si="22"/>
        <v>39982</v>
      </c>
      <c r="K225" s="1847">
        <f t="shared" si="22"/>
        <v>96975</v>
      </c>
      <c r="L225" s="1847">
        <f t="shared" si="22"/>
        <v>147949</v>
      </c>
      <c r="M225" s="1847">
        <f t="shared" si="22"/>
        <v>218140</v>
      </c>
      <c r="N225" s="1847">
        <f t="shared" si="20"/>
        <v>70191</v>
      </c>
      <c r="O225" s="1847">
        <f t="shared" si="20"/>
        <v>0</v>
      </c>
      <c r="P225" s="1847">
        <f t="shared" si="20"/>
        <v>70191</v>
      </c>
      <c r="Q225" s="1847">
        <f t="shared" si="20"/>
        <v>0</v>
      </c>
      <c r="R225" s="1847">
        <f t="shared" si="20"/>
        <v>70191</v>
      </c>
      <c r="S225" s="1847">
        <f t="shared" si="20"/>
        <v>0</v>
      </c>
      <c r="T225" s="1847">
        <f t="shared" si="20"/>
        <v>0</v>
      </c>
    </row>
    <row r="226" spans="2:20" ht="18" customHeight="1">
      <c r="B226" s="1847">
        <f t="shared" si="21"/>
        <v>0</v>
      </c>
      <c r="C226" s="1847">
        <f t="shared" si="21"/>
        <v>0</v>
      </c>
      <c r="D226" s="1847">
        <f t="shared" si="14"/>
        <v>0</v>
      </c>
      <c r="E226" s="1848" t="str">
        <f t="shared" si="15"/>
        <v/>
      </c>
      <c r="F226" s="1849" t="str">
        <f t="shared" si="16"/>
        <v/>
      </c>
      <c r="G226" s="1847">
        <f t="shared" si="17"/>
        <v>0</v>
      </c>
      <c r="H226" s="1847">
        <f t="shared" si="22"/>
        <v>0</v>
      </c>
      <c r="I226" s="1847">
        <f t="shared" si="22"/>
        <v>0</v>
      </c>
      <c r="J226" s="1847">
        <f t="shared" si="22"/>
        <v>0</v>
      </c>
      <c r="K226" s="1847">
        <f t="shared" si="22"/>
        <v>0</v>
      </c>
      <c r="L226" s="1847">
        <f t="shared" si="22"/>
        <v>0</v>
      </c>
      <c r="M226" s="1847">
        <f t="shared" si="22"/>
        <v>0</v>
      </c>
      <c r="N226" s="1847">
        <f t="shared" si="20"/>
        <v>0</v>
      </c>
      <c r="O226" s="1847">
        <f t="shared" si="20"/>
        <v>0</v>
      </c>
      <c r="P226" s="1847">
        <f t="shared" si="20"/>
        <v>0</v>
      </c>
      <c r="Q226" s="1847">
        <f t="shared" si="20"/>
        <v>0</v>
      </c>
      <c r="R226" s="1847">
        <f t="shared" si="20"/>
        <v>0</v>
      </c>
      <c r="S226" s="1847">
        <f t="shared" si="20"/>
        <v>0</v>
      </c>
      <c r="T226" s="1847">
        <f t="shared" si="20"/>
        <v>0</v>
      </c>
    </row>
    <row r="227" spans="2:20" ht="18" customHeight="1">
      <c r="B227" s="1847">
        <f t="shared" si="21"/>
        <v>0</v>
      </c>
      <c r="C227" s="1847">
        <f t="shared" si="21"/>
        <v>0</v>
      </c>
      <c r="D227" s="1847">
        <f t="shared" si="14"/>
        <v>0</v>
      </c>
      <c r="E227" s="1848" t="str">
        <f t="shared" si="15"/>
        <v/>
      </c>
      <c r="F227" s="1849" t="str">
        <f t="shared" si="16"/>
        <v/>
      </c>
      <c r="G227" s="1847">
        <f t="shared" si="17"/>
        <v>0</v>
      </c>
      <c r="H227" s="1847">
        <f t="shared" si="22"/>
        <v>0</v>
      </c>
      <c r="I227" s="1847">
        <f t="shared" si="22"/>
        <v>0</v>
      </c>
      <c r="J227" s="1847">
        <f t="shared" si="22"/>
        <v>0</v>
      </c>
      <c r="K227" s="1847">
        <f t="shared" si="22"/>
        <v>0</v>
      </c>
      <c r="L227" s="1847">
        <f t="shared" si="22"/>
        <v>0</v>
      </c>
      <c r="M227" s="1847">
        <f t="shared" si="22"/>
        <v>0</v>
      </c>
      <c r="N227" s="1847">
        <f t="shared" si="20"/>
        <v>0</v>
      </c>
      <c r="O227" s="1847">
        <f t="shared" si="20"/>
        <v>0</v>
      </c>
      <c r="P227" s="1847">
        <f t="shared" si="20"/>
        <v>0</v>
      </c>
      <c r="Q227" s="1847">
        <f t="shared" si="20"/>
        <v>0</v>
      </c>
      <c r="R227" s="1847">
        <f t="shared" si="20"/>
        <v>0</v>
      </c>
      <c r="S227" s="1847">
        <f t="shared" si="20"/>
        <v>0</v>
      </c>
      <c r="T227" s="1847">
        <f t="shared" si="20"/>
        <v>0</v>
      </c>
    </row>
    <row r="228" spans="2:20" ht="18" customHeight="1">
      <c r="B228" s="1847">
        <f t="shared" si="21"/>
        <v>0</v>
      </c>
      <c r="C228" s="1847">
        <f t="shared" si="21"/>
        <v>0</v>
      </c>
      <c r="D228" s="1847">
        <f t="shared" si="14"/>
        <v>0</v>
      </c>
      <c r="E228" s="1848" t="str">
        <f t="shared" si="15"/>
        <v/>
      </c>
      <c r="F228" s="1849" t="str">
        <f t="shared" si="16"/>
        <v/>
      </c>
      <c r="G228" s="1847">
        <f t="shared" si="17"/>
        <v>0</v>
      </c>
      <c r="H228" s="1847">
        <f t="shared" si="22"/>
        <v>0</v>
      </c>
      <c r="I228" s="1847">
        <f t="shared" si="22"/>
        <v>0</v>
      </c>
      <c r="J228" s="1847">
        <f t="shared" si="22"/>
        <v>0</v>
      </c>
      <c r="K228" s="1847">
        <f t="shared" si="22"/>
        <v>0</v>
      </c>
      <c r="L228" s="1847">
        <f t="shared" si="22"/>
        <v>0</v>
      </c>
      <c r="M228" s="1847">
        <f t="shared" si="22"/>
        <v>0</v>
      </c>
      <c r="N228" s="1847">
        <f t="shared" si="20"/>
        <v>0</v>
      </c>
      <c r="O228" s="1847">
        <f t="shared" si="20"/>
        <v>0</v>
      </c>
      <c r="P228" s="1847">
        <f t="shared" si="20"/>
        <v>0</v>
      </c>
      <c r="Q228" s="1847">
        <f t="shared" si="20"/>
        <v>0</v>
      </c>
      <c r="R228" s="1847">
        <f t="shared" si="20"/>
        <v>0</v>
      </c>
      <c r="S228" s="1847">
        <f t="shared" si="20"/>
        <v>0</v>
      </c>
      <c r="T228" s="1847">
        <f t="shared" si="20"/>
        <v>0</v>
      </c>
    </row>
    <row r="229" spans="2:20" ht="18" customHeight="1">
      <c r="B229" s="1847">
        <f t="shared" si="21"/>
        <v>1</v>
      </c>
      <c r="C229" s="1847">
        <f t="shared" si="21"/>
        <v>0</v>
      </c>
      <c r="D229" s="1847">
        <f t="shared" si="14"/>
        <v>1</v>
      </c>
      <c r="E229" s="1848" t="str">
        <f t="shared" si="15"/>
        <v>מפעל הביוב</v>
      </c>
      <c r="F229" s="1849">
        <f t="shared" si="16"/>
        <v>97</v>
      </c>
      <c r="G229" s="1847">
        <f t="shared" si="17"/>
        <v>14380</v>
      </c>
      <c r="H229" s="1847">
        <f t="shared" si="22"/>
        <v>12980</v>
      </c>
      <c r="I229" s="1847">
        <f t="shared" si="22"/>
        <v>12980</v>
      </c>
      <c r="J229" s="1847">
        <f t="shared" si="22"/>
        <v>65</v>
      </c>
      <c r="K229" s="1847">
        <f t="shared" si="22"/>
        <v>1400</v>
      </c>
      <c r="L229" s="1847">
        <f t="shared" si="22"/>
        <v>13045</v>
      </c>
      <c r="M229" s="1847">
        <f t="shared" si="22"/>
        <v>14380</v>
      </c>
      <c r="N229" s="1847">
        <f t="shared" si="20"/>
        <v>1335</v>
      </c>
      <c r="O229" s="1847">
        <f t="shared" si="20"/>
        <v>0</v>
      </c>
      <c r="P229" s="1847">
        <f t="shared" si="20"/>
        <v>1335</v>
      </c>
      <c r="Q229" s="1847">
        <f t="shared" si="20"/>
        <v>0</v>
      </c>
      <c r="R229" s="1847">
        <f t="shared" si="20"/>
        <v>1335</v>
      </c>
      <c r="S229" s="1847">
        <f t="shared" si="20"/>
        <v>0</v>
      </c>
      <c r="T229" s="1847">
        <f t="shared" si="20"/>
        <v>0</v>
      </c>
    </row>
    <row r="230" spans="2:20" ht="18" customHeight="1">
      <c r="B230" s="1847">
        <f t="shared" si="21"/>
        <v>0</v>
      </c>
      <c r="C230" s="1847">
        <f t="shared" si="21"/>
        <v>0</v>
      </c>
      <c r="D230" s="1847">
        <f t="shared" si="14"/>
        <v>0</v>
      </c>
      <c r="E230" s="1848" t="str">
        <f t="shared" si="15"/>
        <v/>
      </c>
      <c r="F230" s="1849" t="str">
        <f t="shared" si="16"/>
        <v/>
      </c>
      <c r="G230" s="1847">
        <f t="shared" si="17"/>
        <v>0</v>
      </c>
      <c r="H230" s="1847">
        <f t="shared" si="22"/>
        <v>0</v>
      </c>
      <c r="I230" s="1847">
        <f t="shared" si="22"/>
        <v>0</v>
      </c>
      <c r="J230" s="1847">
        <f t="shared" si="22"/>
        <v>0</v>
      </c>
      <c r="K230" s="1847">
        <f t="shared" si="22"/>
        <v>0</v>
      </c>
      <c r="L230" s="1847">
        <f t="shared" si="22"/>
        <v>0</v>
      </c>
      <c r="M230" s="1847">
        <f t="shared" si="22"/>
        <v>0</v>
      </c>
      <c r="N230" s="1847">
        <f t="shared" ref="N230:T236" si="23">N36</f>
        <v>0</v>
      </c>
      <c r="O230" s="1847">
        <f t="shared" si="23"/>
        <v>0</v>
      </c>
      <c r="P230" s="1847">
        <f t="shared" si="23"/>
        <v>0</v>
      </c>
      <c r="Q230" s="1847">
        <f t="shared" si="23"/>
        <v>0</v>
      </c>
      <c r="R230" s="1847">
        <f t="shared" si="23"/>
        <v>0</v>
      </c>
      <c r="S230" s="1847">
        <f t="shared" si="23"/>
        <v>0</v>
      </c>
      <c r="T230" s="1847">
        <f t="shared" si="23"/>
        <v>0</v>
      </c>
    </row>
    <row r="231" spans="2:20" ht="18" customHeight="1">
      <c r="B231" s="1847">
        <f t="shared" si="21"/>
        <v>1</v>
      </c>
      <c r="C231" s="1847">
        <f t="shared" si="21"/>
        <v>0</v>
      </c>
      <c r="D231" s="1847">
        <f t="shared" si="14"/>
        <v>1</v>
      </c>
      <c r="E231" s="1848" t="str">
        <f t="shared" si="15"/>
        <v>לא רגילים</v>
      </c>
      <c r="F231" s="1849">
        <f t="shared" si="16"/>
        <v>99</v>
      </c>
      <c r="G231" s="1847">
        <f t="shared" si="17"/>
        <v>15133</v>
      </c>
      <c r="H231" s="1847">
        <f t="shared" si="22"/>
        <v>15133</v>
      </c>
      <c r="I231" s="1847">
        <f t="shared" si="22"/>
        <v>15133</v>
      </c>
      <c r="J231" s="1847">
        <f t="shared" si="22"/>
        <v>0</v>
      </c>
      <c r="K231" s="1847">
        <f t="shared" si="22"/>
        <v>0</v>
      </c>
      <c r="L231" s="1847">
        <f t="shared" si="22"/>
        <v>15133</v>
      </c>
      <c r="M231" s="1847">
        <f t="shared" si="22"/>
        <v>15133</v>
      </c>
      <c r="N231" s="1847">
        <f t="shared" si="23"/>
        <v>0</v>
      </c>
      <c r="O231" s="1847">
        <f t="shared" si="23"/>
        <v>0</v>
      </c>
      <c r="P231" s="1847">
        <f t="shared" si="23"/>
        <v>0</v>
      </c>
      <c r="Q231" s="1847">
        <f t="shared" si="23"/>
        <v>0</v>
      </c>
      <c r="R231" s="1847">
        <f t="shared" si="23"/>
        <v>0</v>
      </c>
      <c r="S231" s="1847">
        <f t="shared" si="23"/>
        <v>0</v>
      </c>
      <c r="T231" s="1847">
        <f t="shared" si="23"/>
        <v>0</v>
      </c>
    </row>
    <row r="232" spans="2:20" ht="18" customHeight="1">
      <c r="B232" s="1847">
        <f t="shared" si="21"/>
        <v>0</v>
      </c>
      <c r="C232" s="1847">
        <f t="shared" si="21"/>
        <v>0</v>
      </c>
      <c r="D232" s="1847">
        <f t="shared" si="14"/>
        <v>0</v>
      </c>
      <c r="E232" s="1848" t="str">
        <f>IF(AND($E38&lt;&gt;"(***)",OR($B38&lt;&gt;0,$C38&lt;&gt;0,$G38&lt;&gt;0,$H38&lt;&gt;0,$I38&lt;&gt;0,$J38&lt;&gt;0,$K38&lt;&gt;0,$O38&lt;&gt;0,$N38&lt;&gt;0,$Q38&lt;&gt;0,$R38&lt;&gt;0,$S38&lt;&gt;0,$T38&lt;&gt;0)),$E38,"")</f>
        <v/>
      </c>
      <c r="F232" s="1849">
        <f>F38</f>
        <v>0</v>
      </c>
      <c r="G232" s="1847">
        <f t="shared" si="17"/>
        <v>0</v>
      </c>
      <c r="H232" s="1847">
        <f t="shared" ref="H232:M236" si="24">H38</f>
        <v>0</v>
      </c>
      <c r="I232" s="1847">
        <f t="shared" si="24"/>
        <v>0</v>
      </c>
      <c r="J232" s="1847">
        <f t="shared" si="24"/>
        <v>0</v>
      </c>
      <c r="K232" s="1847">
        <f t="shared" si="24"/>
        <v>0</v>
      </c>
      <c r="L232" s="1847">
        <f t="shared" si="24"/>
        <v>0</v>
      </c>
      <c r="M232" s="1847">
        <f t="shared" si="24"/>
        <v>0</v>
      </c>
      <c r="N232" s="1847">
        <f t="shared" si="23"/>
        <v>0</v>
      </c>
      <c r="O232" s="1847">
        <f t="shared" si="23"/>
        <v>0</v>
      </c>
      <c r="P232" s="1847">
        <f t="shared" si="23"/>
        <v>0</v>
      </c>
      <c r="Q232" s="1847">
        <f t="shared" si="23"/>
        <v>0</v>
      </c>
      <c r="R232" s="1847">
        <f t="shared" si="23"/>
        <v>0</v>
      </c>
      <c r="S232" s="1847">
        <f t="shared" si="23"/>
        <v>0</v>
      </c>
      <c r="T232" s="1847">
        <f t="shared" si="23"/>
        <v>0</v>
      </c>
    </row>
    <row r="233" spans="2:20" ht="18" customHeight="1">
      <c r="B233" s="1850">
        <f t="shared" si="21"/>
        <v>373</v>
      </c>
      <c r="C233" s="1850">
        <f t="shared" si="21"/>
        <v>69</v>
      </c>
      <c r="D233" s="1850">
        <f t="shared" si="14"/>
        <v>442</v>
      </c>
      <c r="E233" s="2724" t="str">
        <f>IF(AND($B39=0,$C39=0,$G39=0,$H39=0,$I39=0,$J39=0,$K39=0,$O39=0,$N39=0,$Q39=0,$R39=0,$S39=0,$T39=0),"",$E39)</f>
        <v>סה"כ</v>
      </c>
      <c r="F233" s="2725">
        <f>F39</f>
        <v>0</v>
      </c>
      <c r="G233" s="1851">
        <f t="shared" si="17"/>
        <v>1801849</v>
      </c>
      <c r="H233" s="1851">
        <f t="shared" si="24"/>
        <v>1338077</v>
      </c>
      <c r="I233" s="1851">
        <f t="shared" si="24"/>
        <v>1464735</v>
      </c>
      <c r="J233" s="1851">
        <f t="shared" si="24"/>
        <v>171966</v>
      </c>
      <c r="K233" s="1851">
        <f t="shared" si="24"/>
        <v>321430</v>
      </c>
      <c r="L233" s="1851">
        <f t="shared" si="24"/>
        <v>1510043</v>
      </c>
      <c r="M233" s="1851">
        <f t="shared" si="24"/>
        <v>1786165</v>
      </c>
      <c r="N233" s="1851">
        <f t="shared" si="23"/>
        <v>283185</v>
      </c>
      <c r="O233" s="1851">
        <f t="shared" si="23"/>
        <v>7063</v>
      </c>
      <c r="P233" s="1851">
        <f t="shared" si="23"/>
        <v>276122</v>
      </c>
      <c r="Q233" s="1851">
        <f t="shared" si="23"/>
        <v>0</v>
      </c>
      <c r="R233" s="1851">
        <f t="shared" si="23"/>
        <v>291806</v>
      </c>
      <c r="S233" s="1851">
        <f t="shared" si="23"/>
        <v>15684</v>
      </c>
      <c r="T233" s="1851">
        <f t="shared" si="23"/>
        <v>0</v>
      </c>
    </row>
    <row r="234" spans="2:20" ht="18" customHeight="1">
      <c r="B234" s="1852">
        <f t="shared" si="21"/>
        <v>0</v>
      </c>
      <c r="C234" s="1852">
        <f t="shared" si="21"/>
        <v>69</v>
      </c>
      <c r="D234" s="1852">
        <f t="shared" si="14"/>
        <v>69</v>
      </c>
      <c r="E234" s="1860" t="str">
        <f>IF(AND($M40=0,$L40=0),"",$E40)</f>
        <v>תב"רים שנסתיימו</v>
      </c>
      <c r="F234" s="2723">
        <f>F40</f>
        <v>0</v>
      </c>
      <c r="G234" s="1853">
        <f t="shared" si="17"/>
        <v>103505</v>
      </c>
      <c r="H234" s="1853">
        <f t="shared" si="24"/>
        <v>0</v>
      </c>
      <c r="I234" s="1853">
        <f t="shared" si="24"/>
        <v>0</v>
      </c>
      <c r="J234" s="1853">
        <f t="shared" si="24"/>
        <v>0</v>
      </c>
      <c r="K234" s="1853">
        <f t="shared" si="24"/>
        <v>0</v>
      </c>
      <c r="L234" s="1854">
        <f t="shared" si="24"/>
        <v>103505</v>
      </c>
      <c r="M234" s="1854">
        <f t="shared" si="24"/>
        <v>103505</v>
      </c>
      <c r="N234" s="1855">
        <f t="shared" si="23"/>
        <v>0</v>
      </c>
      <c r="O234" s="1855">
        <f t="shared" si="23"/>
        <v>0</v>
      </c>
      <c r="P234" s="1855">
        <f t="shared" si="23"/>
        <v>0</v>
      </c>
      <c r="Q234" s="1855">
        <f t="shared" si="23"/>
        <v>0</v>
      </c>
      <c r="R234" s="1855">
        <f t="shared" si="23"/>
        <v>0</v>
      </c>
      <c r="S234" s="1856">
        <f t="shared" si="23"/>
        <v>0</v>
      </c>
      <c r="T234" s="2726">
        <f t="shared" si="23"/>
        <v>0</v>
      </c>
    </row>
    <row r="235" spans="2:20" ht="18" customHeight="1" thickBot="1">
      <c r="B235" s="1857">
        <f t="shared" si="21"/>
        <v>373</v>
      </c>
      <c r="C235" s="1857">
        <f t="shared" si="21"/>
        <v>0</v>
      </c>
      <c r="D235" s="1857">
        <f t="shared" si="14"/>
        <v>373</v>
      </c>
      <c r="E235" s="1858" t="str">
        <f>IF(AND($B41=0,$C41=0,$G41=0,$H41=0,$I41=0,$J41=0,$K41=0,$O41=0,$N41=0,$Q41=0,$R41=0,$S41=0,$T41=0),"",$E41)</f>
        <v>סה"כ נטו</v>
      </c>
      <c r="F235" s="1859">
        <f>F41</f>
        <v>0</v>
      </c>
      <c r="G235" s="1857">
        <f t="shared" si="17"/>
        <v>1698344</v>
      </c>
      <c r="H235" s="1857">
        <f t="shared" si="24"/>
        <v>1338077</v>
      </c>
      <c r="I235" s="1857">
        <f t="shared" si="24"/>
        <v>1464735</v>
      </c>
      <c r="J235" s="1857">
        <f t="shared" si="24"/>
        <v>171966</v>
      </c>
      <c r="K235" s="1857">
        <f t="shared" si="24"/>
        <v>321430</v>
      </c>
      <c r="L235" s="1857">
        <f t="shared" si="24"/>
        <v>1406538</v>
      </c>
      <c r="M235" s="1857">
        <f t="shared" si="24"/>
        <v>1682660</v>
      </c>
      <c r="N235" s="1857">
        <f t="shared" si="23"/>
        <v>283185</v>
      </c>
      <c r="O235" s="1857">
        <f t="shared" si="23"/>
        <v>7063</v>
      </c>
      <c r="P235" s="1857">
        <f t="shared" si="23"/>
        <v>276122</v>
      </c>
      <c r="Q235" s="1857">
        <f t="shared" si="23"/>
        <v>0</v>
      </c>
      <c r="R235" s="1857">
        <f t="shared" si="23"/>
        <v>291806</v>
      </c>
      <c r="S235" s="1857">
        <f t="shared" si="23"/>
        <v>15684</v>
      </c>
      <c r="T235" s="1857">
        <f t="shared" si="23"/>
        <v>0</v>
      </c>
    </row>
    <row r="236" spans="2:20" ht="18" customHeight="1" thickTop="1">
      <c r="B236" s="1860">
        <f t="shared" si="21"/>
        <v>0</v>
      </c>
      <c r="C236" s="1861">
        <f t="shared" si="21"/>
        <v>0</v>
      </c>
      <c r="D236" s="1861">
        <f t="shared" si="14"/>
        <v>0</v>
      </c>
      <c r="E236" s="1861">
        <f>E42</f>
        <v>0</v>
      </c>
      <c r="F236" s="1861">
        <f>F42</f>
        <v>0</v>
      </c>
      <c r="G236" s="1862">
        <f t="shared" si="17"/>
        <v>0</v>
      </c>
      <c r="H236" s="1863">
        <f t="shared" si="24"/>
        <v>0</v>
      </c>
      <c r="I236" s="1863">
        <f t="shared" si="24"/>
        <v>0</v>
      </c>
      <c r="J236" s="1863">
        <f t="shared" si="24"/>
        <v>0</v>
      </c>
      <c r="K236" s="1863">
        <f t="shared" si="24"/>
        <v>0</v>
      </c>
      <c r="L236" s="1863">
        <f t="shared" si="24"/>
        <v>0</v>
      </c>
      <c r="M236" s="1863">
        <f t="shared" si="24"/>
        <v>0</v>
      </c>
      <c r="N236" s="1863">
        <f t="shared" si="23"/>
        <v>0</v>
      </c>
      <c r="O236" s="1863">
        <f t="shared" si="23"/>
        <v>0</v>
      </c>
      <c r="P236" s="1863">
        <f t="shared" si="23"/>
        <v>0</v>
      </c>
      <c r="Q236" s="1863">
        <f t="shared" si="23"/>
        <v>0</v>
      </c>
      <c r="R236" s="1863">
        <f t="shared" si="23"/>
        <v>0</v>
      </c>
      <c r="S236" s="1863">
        <f t="shared" si="23"/>
        <v>0</v>
      </c>
      <c r="T236" s="1864">
        <f t="shared" si="23"/>
        <v>0</v>
      </c>
    </row>
  </sheetData>
  <sheetProtection password="83C1" sheet="1" objects="1" scenarios="1"/>
  <mergeCells count="11">
    <mergeCell ref="B194:T194"/>
    <mergeCell ref="B195:T195"/>
    <mergeCell ref="B196:T196"/>
    <mergeCell ref="J6:K7"/>
    <mergeCell ref="F1:M1"/>
    <mergeCell ref="S5:T5"/>
    <mergeCell ref="Q5:R5"/>
    <mergeCell ref="L6:M7"/>
    <mergeCell ref="F2:M2"/>
    <mergeCell ref="F3:M3"/>
    <mergeCell ref="H6:I7"/>
  </mergeCells>
  <phoneticPr fontId="4" type="noConversion"/>
  <hyperlinks>
    <hyperlink ref="A4" location="'תוכן הענינים'!A1" tooltip="לחץ להצגת גליון תוכן הענינים" display="הצג תוכן ענינים"/>
  </hyperlinks>
  <printOptions horizontalCentered="1"/>
  <pageMargins left="0" right="0" top="0.75" bottom="0.25" header="0.25" footer="3.9370078740157501E-2"/>
  <pageSetup paperSize="9" scale="65" firstPageNumber="27" orientation="landscape" blackAndWhite="1" horizontalDpi="300" verticalDpi="300" r:id="rId1"/>
  <headerFooter alignWithMargins="0">
    <oddHeader>&amp;L&amp;8&amp;A</oddHeader>
    <oddFooter>&amp;C&amp;8&amp;P</oddFoot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51"/>
  <dimension ref="A1:D128"/>
  <sheetViews>
    <sheetView showRowColHeaders="0" showZeros="0" rightToLeft="1" showOutlineSymbols="0" zoomScaleNormal="100" workbookViewId="0"/>
  </sheetViews>
  <sheetFormatPr defaultColWidth="9.109375" defaultRowHeight="13.2"/>
  <cols>
    <col min="1" max="1" width="3.44140625" style="766" customWidth="1"/>
    <col min="2" max="2" width="44.5546875" style="2921" customWidth="1"/>
    <col min="3" max="3" width="15" style="2921" customWidth="1"/>
    <col min="4" max="4" width="14.44140625" style="2921" customWidth="1"/>
    <col min="5" max="16384" width="9.109375" style="766"/>
  </cols>
  <sheetData>
    <row r="1" spans="1:4">
      <c r="A1" s="2917" t="s">
        <v>339</v>
      </c>
      <c r="B1" s="2920"/>
      <c r="C1" s="2922" t="s">
        <v>786</v>
      </c>
      <c r="D1" s="2922"/>
    </row>
    <row r="2" spans="1:4">
      <c r="A2" s="2874"/>
      <c r="B2" s="2920"/>
      <c r="C2" s="2920"/>
      <c r="D2" s="2920"/>
    </row>
    <row r="3" spans="1:4">
      <c r="A3" s="2918"/>
      <c r="B3" s="2918"/>
      <c r="C3" s="2918" t="s">
        <v>893</v>
      </c>
      <c r="D3" s="2918" t="str">
        <f>CONCATENATE("ביצוע בפועל ",Shana)</f>
        <v>ביצוע בפועל 2015</v>
      </c>
    </row>
    <row r="4" spans="1:4">
      <c r="A4" s="2874"/>
      <c r="B4" s="2918" t="s">
        <v>2198</v>
      </c>
      <c r="C4" s="2918" t="s">
        <v>2200</v>
      </c>
      <c r="D4" s="2918" t="s">
        <v>2200</v>
      </c>
    </row>
    <row r="5" spans="1:4">
      <c r="A5" s="2874"/>
      <c r="B5" s="2918" t="s">
        <v>2276</v>
      </c>
      <c r="C5" s="2920"/>
      <c r="D5" s="2920"/>
    </row>
    <row r="6" spans="1:4">
      <c r="A6" s="2874"/>
      <c r="B6" s="3229" t="s">
        <v>2269</v>
      </c>
      <c r="C6" s="3227">
        <v>597</v>
      </c>
      <c r="D6" s="3227">
        <v>574</v>
      </c>
    </row>
    <row r="7" spans="1:4">
      <c r="A7" s="2874"/>
      <c r="B7" s="3229" t="s">
        <v>2270</v>
      </c>
      <c r="C7" s="3308">
        <v>3635</v>
      </c>
      <c r="D7" s="3308">
        <v>3635</v>
      </c>
    </row>
    <row r="8" spans="1:4">
      <c r="A8" s="2874"/>
      <c r="B8" s="3229" t="s">
        <v>2271</v>
      </c>
      <c r="C8" s="2920">
        <v>275</v>
      </c>
      <c r="D8" s="2920">
        <v>300</v>
      </c>
    </row>
    <row r="9" spans="1:4">
      <c r="A9" s="2874"/>
      <c r="B9" s="3229" t="s">
        <v>2272</v>
      </c>
      <c r="C9" s="2920">
        <v>310</v>
      </c>
      <c r="D9" s="2920">
        <v>292</v>
      </c>
    </row>
    <row r="10" spans="1:4">
      <c r="A10" s="2874"/>
      <c r="B10" s="3229" t="s">
        <v>2273</v>
      </c>
      <c r="C10" s="2920">
        <v>34</v>
      </c>
      <c r="D10" s="2920">
        <v>43</v>
      </c>
    </row>
    <row r="11" spans="1:4">
      <c r="A11" s="2874"/>
      <c r="B11" s="3229" t="s">
        <v>2274</v>
      </c>
      <c r="C11" s="2920">
        <v>180</v>
      </c>
      <c r="D11" s="2920">
        <v>166</v>
      </c>
    </row>
    <row r="12" spans="1:4">
      <c r="A12" s="2874"/>
      <c r="B12" s="3229" t="s">
        <v>2275</v>
      </c>
      <c r="C12" s="3313">
        <v>4765</v>
      </c>
      <c r="D12" s="3313">
        <v>4716</v>
      </c>
    </row>
    <row r="13" spans="1:4">
      <c r="A13" s="2874"/>
      <c r="B13" s="3229" t="s">
        <v>782</v>
      </c>
      <c r="C13" s="3226">
        <f>SUM(C6:C12)</f>
        <v>9796</v>
      </c>
      <c r="D13" s="3226">
        <f>SUM(D6:D12)</f>
        <v>9726</v>
      </c>
    </row>
    <row r="14" spans="1:4">
      <c r="A14" s="2874"/>
      <c r="B14" s="3307" t="s">
        <v>2277</v>
      </c>
      <c r="C14" s="2920"/>
      <c r="D14" s="2920"/>
    </row>
    <row r="15" spans="1:4">
      <c r="A15" s="2874"/>
      <c r="B15" s="3229" t="s">
        <v>2470</v>
      </c>
      <c r="C15" s="2920">
        <v>30</v>
      </c>
      <c r="D15" s="2920">
        <v>26</v>
      </c>
    </row>
    <row r="16" spans="1:4">
      <c r="A16" s="2874"/>
      <c r="B16" s="3229" t="s">
        <v>2471</v>
      </c>
      <c r="C16" s="2920">
        <v>47</v>
      </c>
      <c r="D16" s="2920">
        <v>28</v>
      </c>
    </row>
    <row r="17" spans="1:4">
      <c r="A17" s="2874"/>
      <c r="B17" s="3229" t="s">
        <v>2380</v>
      </c>
      <c r="C17" s="2920">
        <v>65</v>
      </c>
      <c r="D17" s="2920">
        <v>76</v>
      </c>
    </row>
    <row r="18" spans="1:4">
      <c r="A18" s="2874"/>
      <c r="B18" s="3229" t="s">
        <v>2381</v>
      </c>
      <c r="C18" s="2920">
        <v>325</v>
      </c>
      <c r="D18" s="2920">
        <v>310</v>
      </c>
    </row>
    <row r="19" spans="1:4">
      <c r="A19" s="2874"/>
      <c r="B19" s="3229" t="s">
        <v>2382</v>
      </c>
      <c r="C19" s="2920">
        <v>175</v>
      </c>
      <c r="D19" s="2920">
        <v>173</v>
      </c>
    </row>
    <row r="20" spans="1:4">
      <c r="A20" s="2874"/>
      <c r="B20" s="3229" t="s">
        <v>2383</v>
      </c>
      <c r="C20" s="2920">
        <v>80</v>
      </c>
      <c r="D20" s="2920">
        <v>70</v>
      </c>
    </row>
    <row r="21" spans="1:4">
      <c r="A21" s="2874"/>
      <c r="B21" s="3229" t="s">
        <v>2384</v>
      </c>
      <c r="C21" s="2920">
        <v>80</v>
      </c>
      <c r="D21" s="2920">
        <v>103</v>
      </c>
    </row>
    <row r="22" spans="1:4">
      <c r="A22" s="2874"/>
      <c r="B22" s="3229" t="s">
        <v>2385</v>
      </c>
      <c r="C22" s="3307">
        <v>250</v>
      </c>
      <c r="D22" s="3307">
        <v>241</v>
      </c>
    </row>
    <row r="23" spans="1:4">
      <c r="A23" s="2874"/>
      <c r="B23" s="3229" t="s">
        <v>782</v>
      </c>
      <c r="C23" s="3226">
        <f>SUM(C15:C22)</f>
        <v>1052</v>
      </c>
      <c r="D23" s="3226">
        <f>SUM(D15:D22)</f>
        <v>1027</v>
      </c>
    </row>
    <row r="24" spans="1:4">
      <c r="A24" s="2874"/>
      <c r="B24" s="2920"/>
      <c r="C24" s="2920"/>
      <c r="D24" s="2920"/>
    </row>
    <row r="25" spans="1:4">
      <c r="A25" s="2874"/>
      <c r="B25" s="3307" t="s">
        <v>2278</v>
      </c>
      <c r="C25" s="2920"/>
      <c r="D25" s="2920"/>
    </row>
    <row r="26" spans="1:4">
      <c r="A26" s="2874"/>
      <c r="B26" s="3229" t="s">
        <v>2279</v>
      </c>
      <c r="C26" s="2920">
        <v>490</v>
      </c>
      <c r="D26" s="2920">
        <v>466</v>
      </c>
    </row>
    <row r="27" spans="1:4">
      <c r="A27" s="2874"/>
      <c r="B27" s="3229" t="s">
        <v>2280</v>
      </c>
      <c r="C27" s="3308">
        <v>3945</v>
      </c>
      <c r="D27" s="3308">
        <v>3934</v>
      </c>
    </row>
    <row r="28" spans="1:4">
      <c r="A28" s="2874"/>
      <c r="B28" s="3229" t="s">
        <v>2281</v>
      </c>
      <c r="C28" s="2920">
        <v>130</v>
      </c>
      <c r="D28" s="2920">
        <v>126</v>
      </c>
    </row>
    <row r="29" spans="1:4">
      <c r="A29" s="2874"/>
      <c r="B29" s="3229" t="s">
        <v>2282</v>
      </c>
      <c r="C29" s="2920">
        <v>330</v>
      </c>
      <c r="D29" s="2920">
        <v>330</v>
      </c>
    </row>
    <row r="30" spans="1:4">
      <c r="A30" s="2874"/>
      <c r="B30" s="3229" t="s">
        <v>2283</v>
      </c>
      <c r="C30" s="2920">
        <v>502</v>
      </c>
      <c r="D30" s="2920">
        <v>502</v>
      </c>
    </row>
    <row r="31" spans="1:4">
      <c r="A31" s="2874"/>
      <c r="B31" s="3229" t="s">
        <v>2284</v>
      </c>
      <c r="C31" s="2920">
        <v>107</v>
      </c>
      <c r="D31" s="2920">
        <v>107</v>
      </c>
    </row>
    <row r="32" spans="1:4">
      <c r="A32" s="2874"/>
      <c r="B32" s="3229" t="s">
        <v>2386</v>
      </c>
      <c r="C32" s="2920">
        <v>90</v>
      </c>
      <c r="D32" s="2920">
        <v>51</v>
      </c>
    </row>
    <row r="33" spans="1:4">
      <c r="A33" s="2874"/>
      <c r="B33" s="3229" t="s">
        <v>2285</v>
      </c>
      <c r="C33" s="3308">
        <v>1540</v>
      </c>
      <c r="D33" s="3308">
        <v>1500</v>
      </c>
    </row>
    <row r="34" spans="1:4">
      <c r="A34" s="2874"/>
      <c r="B34" s="3229" t="s">
        <v>2286</v>
      </c>
      <c r="C34" s="2920">
        <v>317</v>
      </c>
      <c r="D34" s="2920">
        <v>317</v>
      </c>
    </row>
    <row r="35" spans="1:4">
      <c r="A35" s="2874"/>
      <c r="B35" s="3229" t="s">
        <v>2287</v>
      </c>
      <c r="C35" s="2920">
        <v>278</v>
      </c>
      <c r="D35" s="2920">
        <v>274</v>
      </c>
    </row>
    <row r="36" spans="1:4">
      <c r="A36" s="2874"/>
      <c r="B36" s="3229" t="s">
        <v>2288</v>
      </c>
      <c r="C36" s="3308">
        <v>1854</v>
      </c>
      <c r="D36" s="3308">
        <v>1856</v>
      </c>
    </row>
    <row r="37" spans="1:4">
      <c r="A37" s="2874"/>
      <c r="B37" s="3229" t="s">
        <v>2289</v>
      </c>
      <c r="C37" s="2920">
        <v>100</v>
      </c>
      <c r="D37" s="2920">
        <v>100</v>
      </c>
    </row>
    <row r="38" spans="1:4">
      <c r="A38" s="2874"/>
      <c r="B38" s="3229" t="s">
        <v>2290</v>
      </c>
      <c r="C38" s="2920">
        <v>750</v>
      </c>
      <c r="D38" s="2920">
        <v>676</v>
      </c>
    </row>
    <row r="39" spans="1:4">
      <c r="A39" s="2874"/>
      <c r="B39" s="3229" t="s">
        <v>2291</v>
      </c>
      <c r="C39" s="2920">
        <v>75</v>
      </c>
      <c r="D39" s="2920">
        <v>75</v>
      </c>
    </row>
    <row r="40" spans="1:4">
      <c r="A40" s="2874"/>
      <c r="B40" s="3229" t="s">
        <v>2335</v>
      </c>
      <c r="C40" s="2920">
        <v>167</v>
      </c>
      <c r="D40" s="2920">
        <v>167</v>
      </c>
    </row>
    <row r="41" spans="1:4">
      <c r="A41" s="2874"/>
      <c r="B41" s="3229" t="s">
        <v>2292</v>
      </c>
      <c r="C41" s="2920">
        <v>162</v>
      </c>
      <c r="D41" s="2920">
        <v>162</v>
      </c>
    </row>
    <row r="42" spans="1:4">
      <c r="A42" s="2874"/>
      <c r="B42" s="3229" t="s">
        <v>2336</v>
      </c>
      <c r="C42" s="3308">
        <v>1340</v>
      </c>
      <c r="D42" s="3308">
        <v>1340</v>
      </c>
    </row>
    <row r="43" spans="1:4">
      <c r="A43" s="2874"/>
      <c r="B43" s="3229" t="s">
        <v>2337</v>
      </c>
      <c r="C43" s="3308">
        <v>1076</v>
      </c>
      <c r="D43" s="3308">
        <v>1076</v>
      </c>
    </row>
    <row r="44" spans="1:4">
      <c r="A44" s="2874"/>
      <c r="B44" s="3229" t="s">
        <v>2338</v>
      </c>
      <c r="C44" s="3308">
        <v>1320</v>
      </c>
      <c r="D44" s="3308">
        <v>1320</v>
      </c>
    </row>
    <row r="45" spans="1:4">
      <c r="A45" s="2874"/>
      <c r="B45" s="3229" t="s">
        <v>2387</v>
      </c>
      <c r="C45" s="3308">
        <v>100</v>
      </c>
      <c r="D45" s="3308">
        <v>100</v>
      </c>
    </row>
    <row r="46" spans="1:4">
      <c r="A46" s="2874"/>
      <c r="B46" s="3229" t="s">
        <v>2388</v>
      </c>
      <c r="C46" s="3308">
        <v>120</v>
      </c>
      <c r="D46" s="3308">
        <v>114</v>
      </c>
    </row>
    <row r="47" spans="1:4">
      <c r="A47" s="2874"/>
      <c r="B47" s="3229" t="s">
        <v>2389</v>
      </c>
      <c r="C47" s="3308">
        <v>120</v>
      </c>
      <c r="D47" s="3308">
        <v>114</v>
      </c>
    </row>
    <row r="48" spans="1:4">
      <c r="A48" s="2874"/>
      <c r="B48" s="3229" t="s">
        <v>2293</v>
      </c>
      <c r="C48" s="2920">
        <v>475</v>
      </c>
      <c r="D48" s="2920">
        <v>475</v>
      </c>
    </row>
    <row r="49" spans="1:4">
      <c r="A49" s="2874"/>
      <c r="B49" s="3229" t="s">
        <v>2294</v>
      </c>
      <c r="C49" s="2920">
        <v>597</v>
      </c>
      <c r="D49" s="2920">
        <v>597</v>
      </c>
    </row>
    <row r="50" spans="1:4">
      <c r="A50" s="2874"/>
      <c r="B50" s="3229" t="s">
        <v>2295</v>
      </c>
      <c r="C50" s="2920">
        <v>812</v>
      </c>
      <c r="D50" s="2920">
        <v>812</v>
      </c>
    </row>
    <row r="51" spans="1:4">
      <c r="A51" s="2874"/>
      <c r="B51" s="3229" t="s">
        <v>2296</v>
      </c>
      <c r="C51" s="2920">
        <v>670</v>
      </c>
      <c r="D51" s="2920">
        <v>670</v>
      </c>
    </row>
    <row r="52" spans="1:4">
      <c r="A52" s="2874"/>
      <c r="B52" s="3229" t="s">
        <v>2297</v>
      </c>
      <c r="C52" s="2920">
        <v>475</v>
      </c>
      <c r="D52" s="2920">
        <v>475</v>
      </c>
    </row>
    <row r="53" spans="1:4">
      <c r="A53" s="2874"/>
      <c r="B53" s="3229" t="s">
        <v>2339</v>
      </c>
      <c r="C53" s="2920">
        <v>104</v>
      </c>
      <c r="D53" s="2920">
        <v>104</v>
      </c>
    </row>
    <row r="54" spans="1:4">
      <c r="A54" s="2874"/>
      <c r="B54" s="3229" t="s">
        <v>2298</v>
      </c>
      <c r="C54" s="2920">
        <v>41</v>
      </c>
      <c r="D54" s="2920">
        <v>0</v>
      </c>
    </row>
    <row r="55" spans="1:4">
      <c r="A55" s="2874"/>
      <c r="B55" s="3229" t="s">
        <v>2299</v>
      </c>
      <c r="C55" s="2920">
        <v>30</v>
      </c>
      <c r="D55" s="2920">
        <v>30</v>
      </c>
    </row>
    <row r="56" spans="1:4">
      <c r="A56" s="2874"/>
      <c r="B56" s="3229" t="s">
        <v>2300</v>
      </c>
      <c r="C56" s="3308">
        <v>2070</v>
      </c>
      <c r="D56" s="3308">
        <v>2070</v>
      </c>
    </row>
    <row r="57" spans="1:4">
      <c r="A57" s="2874"/>
      <c r="B57" s="3229" t="s">
        <v>2301</v>
      </c>
      <c r="C57" s="2920">
        <v>440</v>
      </c>
      <c r="D57" s="2920">
        <v>440</v>
      </c>
    </row>
    <row r="58" spans="1:4">
      <c r="A58" s="2874"/>
      <c r="B58" s="3229" t="s">
        <v>2302</v>
      </c>
      <c r="C58" s="3308">
        <v>1250</v>
      </c>
      <c r="D58" s="3308">
        <v>1250</v>
      </c>
    </row>
    <row r="59" spans="1:4">
      <c r="A59" s="2874"/>
      <c r="B59" s="3229" t="s">
        <v>2390</v>
      </c>
      <c r="C59" s="2920">
        <v>110</v>
      </c>
      <c r="D59" s="2920">
        <v>110</v>
      </c>
    </row>
    <row r="60" spans="1:4">
      <c r="A60" s="2874"/>
      <c r="B60" s="3229" t="s">
        <v>2391</v>
      </c>
      <c r="C60" s="3308">
        <v>1523</v>
      </c>
      <c r="D60" s="3308">
        <v>1523</v>
      </c>
    </row>
    <row r="61" spans="1:4">
      <c r="A61" s="2874"/>
      <c r="B61" s="3229" t="s">
        <v>2392</v>
      </c>
      <c r="C61" s="2920">
        <v>861</v>
      </c>
      <c r="D61" s="2920">
        <v>861</v>
      </c>
    </row>
    <row r="62" spans="1:4">
      <c r="A62" s="2874"/>
      <c r="B62" s="3229" t="s">
        <v>2393</v>
      </c>
      <c r="C62" s="2920">
        <v>182</v>
      </c>
      <c r="D62" s="2920">
        <v>182</v>
      </c>
    </row>
    <row r="63" spans="1:4">
      <c r="A63" s="2874"/>
      <c r="B63" s="3229" t="s">
        <v>2394</v>
      </c>
      <c r="C63" s="3314">
        <v>2044</v>
      </c>
      <c r="D63" s="3308">
        <v>2044</v>
      </c>
    </row>
    <row r="64" spans="1:4">
      <c r="A64" s="2874"/>
      <c r="B64" s="3229" t="s">
        <v>2395</v>
      </c>
      <c r="C64" s="2920">
        <v>154</v>
      </c>
      <c r="D64" s="2920">
        <v>154</v>
      </c>
    </row>
    <row r="65" spans="1:4">
      <c r="A65" s="2874"/>
      <c r="B65" s="3229" t="s">
        <v>2396</v>
      </c>
      <c r="C65" s="3308">
        <v>1590</v>
      </c>
      <c r="D65" s="3308">
        <v>1590</v>
      </c>
    </row>
    <row r="66" spans="1:4">
      <c r="A66" s="2874"/>
      <c r="B66" s="3229" t="s">
        <v>2397</v>
      </c>
      <c r="C66" s="3308">
        <v>132</v>
      </c>
      <c r="D66" s="3308">
        <v>132</v>
      </c>
    </row>
    <row r="67" spans="1:4">
      <c r="A67" s="2874"/>
      <c r="B67" s="3229" t="s">
        <v>2398</v>
      </c>
      <c r="C67" s="3308">
        <v>140</v>
      </c>
      <c r="D67" s="3308">
        <v>140</v>
      </c>
    </row>
    <row r="68" spans="1:4">
      <c r="A68" s="2874"/>
      <c r="B68" s="3229" t="s">
        <v>2399</v>
      </c>
      <c r="C68" s="3308">
        <v>1100</v>
      </c>
      <c r="D68" s="3308">
        <v>1100</v>
      </c>
    </row>
    <row r="69" spans="1:4">
      <c r="A69" s="2874"/>
      <c r="B69" s="3227" t="s">
        <v>2400</v>
      </c>
      <c r="C69" s="2874">
        <v>500</v>
      </c>
      <c r="D69" s="2874">
        <v>500</v>
      </c>
    </row>
    <row r="70" spans="1:4">
      <c r="A70" s="2874"/>
      <c r="B70" s="3229" t="s">
        <v>2401</v>
      </c>
      <c r="C70" s="2920">
        <v>70</v>
      </c>
      <c r="D70" s="2920">
        <v>70</v>
      </c>
    </row>
    <row r="71" spans="1:4">
      <c r="A71" s="2874"/>
      <c r="B71" s="3229" t="s">
        <v>2402</v>
      </c>
      <c r="C71" s="2920">
        <v>430</v>
      </c>
      <c r="D71" s="2920">
        <v>0</v>
      </c>
    </row>
    <row r="72" spans="1:4">
      <c r="A72" s="2874"/>
      <c r="B72" s="3229" t="s">
        <v>2403</v>
      </c>
      <c r="C72" s="2920">
        <v>700</v>
      </c>
      <c r="D72" s="2920">
        <v>700</v>
      </c>
    </row>
    <row r="73" spans="1:4">
      <c r="A73" s="2874"/>
      <c r="B73" s="3229" t="s">
        <v>2472</v>
      </c>
      <c r="C73" s="3307">
        <v>300</v>
      </c>
      <c r="D73" s="3307">
        <v>300</v>
      </c>
    </row>
    <row r="74" spans="1:4">
      <c r="A74" s="2874"/>
      <c r="B74" s="3229" t="s">
        <v>782</v>
      </c>
      <c r="C74" s="3226">
        <f>SUM(C26:C73)</f>
        <v>31713</v>
      </c>
      <c r="D74" s="3226">
        <f>SUM(D26:D73)</f>
        <v>31036</v>
      </c>
    </row>
    <row r="75" spans="1:4">
      <c r="A75" s="2874"/>
      <c r="B75" s="2920"/>
      <c r="C75" s="2920"/>
      <c r="D75" s="2920"/>
    </row>
    <row r="76" spans="1:4">
      <c r="A76" s="2874"/>
      <c r="B76" s="3307" t="s">
        <v>2303</v>
      </c>
      <c r="C76" s="2920"/>
      <c r="D76" s="2920"/>
    </row>
    <row r="77" spans="1:4">
      <c r="A77" s="2874"/>
      <c r="B77" s="3229" t="s">
        <v>2304</v>
      </c>
      <c r="C77" s="3308">
        <v>2120</v>
      </c>
      <c r="D77" s="3308">
        <v>2119</v>
      </c>
    </row>
    <row r="78" spans="1:4">
      <c r="A78" s="2874"/>
      <c r="B78" s="3229" t="s">
        <v>2305</v>
      </c>
      <c r="C78" s="2920">
        <v>300</v>
      </c>
      <c r="D78" s="2920">
        <v>297</v>
      </c>
    </row>
    <row r="79" spans="1:4">
      <c r="A79" s="2874"/>
      <c r="B79" s="3229" t="s">
        <v>2306</v>
      </c>
      <c r="C79" s="3307">
        <v>940</v>
      </c>
      <c r="D79" s="3307">
        <v>927</v>
      </c>
    </row>
    <row r="80" spans="1:4">
      <c r="A80" s="2874"/>
      <c r="B80" s="3229" t="s">
        <v>782</v>
      </c>
      <c r="C80" s="3308">
        <f>SUM(C77:C79)</f>
        <v>3360</v>
      </c>
      <c r="D80" s="3308">
        <f>SUM(D77:D79)</f>
        <v>3343</v>
      </c>
    </row>
    <row r="81" spans="1:4">
      <c r="A81" s="2874"/>
      <c r="B81" s="2920"/>
      <c r="C81" s="2920"/>
      <c r="D81" s="2920"/>
    </row>
    <row r="82" spans="1:4">
      <c r="A82" s="2874"/>
      <c r="B82" s="3307" t="s">
        <v>2307</v>
      </c>
      <c r="C82" s="2920"/>
      <c r="D82" s="2920"/>
    </row>
    <row r="83" spans="1:4">
      <c r="A83" s="2874"/>
      <c r="B83" s="3229" t="s">
        <v>2308</v>
      </c>
      <c r="C83" s="2920">
        <v>50</v>
      </c>
      <c r="D83" s="2920">
        <v>50</v>
      </c>
    </row>
    <row r="84" spans="1:4">
      <c r="A84" s="2874"/>
      <c r="B84" s="3229" t="s">
        <v>2309</v>
      </c>
      <c r="C84" s="2920">
        <v>50</v>
      </c>
      <c r="D84" s="2920">
        <v>50</v>
      </c>
    </row>
    <row r="85" spans="1:4">
      <c r="A85" s="2874"/>
      <c r="B85" s="3229" t="s">
        <v>2310</v>
      </c>
      <c r="C85" s="3308">
        <v>3675</v>
      </c>
      <c r="D85" s="3308">
        <v>3675</v>
      </c>
    </row>
    <row r="86" spans="1:4">
      <c r="A86" s="2874"/>
      <c r="B86" s="3229" t="s">
        <v>2311</v>
      </c>
      <c r="C86" s="2920">
        <v>160</v>
      </c>
      <c r="D86" s="2920">
        <v>160</v>
      </c>
    </row>
    <row r="87" spans="1:4">
      <c r="A87" s="2874"/>
      <c r="B87" s="3229" t="s">
        <v>2312</v>
      </c>
      <c r="C87" s="3308">
        <v>1350</v>
      </c>
      <c r="D87" s="3308">
        <v>1350</v>
      </c>
    </row>
    <row r="88" spans="1:4">
      <c r="A88" s="2874"/>
      <c r="B88" s="3229" t="s">
        <v>2313</v>
      </c>
      <c r="C88" s="3307">
        <v>100</v>
      </c>
      <c r="D88" s="3307">
        <v>100</v>
      </c>
    </row>
    <row r="89" spans="1:4">
      <c r="A89" s="2874"/>
      <c r="B89" s="3229" t="s">
        <v>782</v>
      </c>
      <c r="C89" s="3226">
        <f>SUM(C83:C88)</f>
        <v>5385</v>
      </c>
      <c r="D89" s="3226">
        <f>SUM(D83:D88)</f>
        <v>5385</v>
      </c>
    </row>
    <row r="90" spans="1:4">
      <c r="A90" s="2874"/>
      <c r="B90" s="2920"/>
      <c r="C90" s="2920"/>
      <c r="D90" s="2920"/>
    </row>
    <row r="91" spans="1:4">
      <c r="A91" s="2874"/>
      <c r="B91" s="3307" t="s">
        <v>2314</v>
      </c>
      <c r="C91" s="2920"/>
      <c r="D91" s="2920"/>
    </row>
    <row r="92" spans="1:4">
      <c r="A92" s="2874"/>
      <c r="B92" s="3229" t="s">
        <v>2315</v>
      </c>
      <c r="C92" s="3308">
        <v>7800</v>
      </c>
      <c r="D92" s="3308">
        <v>7595</v>
      </c>
    </row>
    <row r="93" spans="1:4">
      <c r="A93" s="2874"/>
      <c r="B93" s="3229" t="s">
        <v>2316</v>
      </c>
      <c r="C93" s="2920">
        <v>877</v>
      </c>
      <c r="D93" s="2920">
        <v>877</v>
      </c>
    </row>
    <row r="94" spans="1:4">
      <c r="A94" s="2874"/>
      <c r="B94" s="3229" t="s">
        <v>2317</v>
      </c>
      <c r="C94" s="2920">
        <v>600</v>
      </c>
      <c r="D94" s="2920">
        <v>600</v>
      </c>
    </row>
    <row r="95" spans="1:4">
      <c r="A95" s="2874"/>
      <c r="B95" s="3229" t="s">
        <v>2318</v>
      </c>
      <c r="C95" s="3308">
        <v>1400</v>
      </c>
      <c r="D95" s="3308">
        <v>1242</v>
      </c>
    </row>
    <row r="96" spans="1:4">
      <c r="A96" s="2874"/>
      <c r="B96" s="3229" t="s">
        <v>2319</v>
      </c>
      <c r="C96" s="2920">
        <v>70</v>
      </c>
      <c r="D96" s="2920">
        <v>69</v>
      </c>
    </row>
    <row r="97" spans="1:4">
      <c r="A97" s="2874"/>
      <c r="B97" s="3229" t="s">
        <v>2320</v>
      </c>
      <c r="C97" s="3308">
        <v>1420</v>
      </c>
      <c r="D97" s="3308">
        <v>1420</v>
      </c>
    </row>
    <row r="98" spans="1:4">
      <c r="A98" s="2874"/>
      <c r="B98" s="3229" t="s">
        <v>2321</v>
      </c>
      <c r="C98" s="2920">
        <v>650</v>
      </c>
      <c r="D98" s="2920">
        <v>650</v>
      </c>
    </row>
    <row r="99" spans="1:4">
      <c r="A99" s="2874"/>
      <c r="B99" s="3229" t="s">
        <v>2322</v>
      </c>
      <c r="C99" s="2920">
        <v>125</v>
      </c>
      <c r="D99" s="2920">
        <v>125</v>
      </c>
    </row>
    <row r="100" spans="1:4">
      <c r="A100" s="2874"/>
      <c r="B100" s="3229" t="s">
        <v>2404</v>
      </c>
      <c r="C100" s="3307">
        <v>200</v>
      </c>
      <c r="D100" s="3307">
        <v>131</v>
      </c>
    </row>
    <row r="101" spans="1:4">
      <c r="A101" s="2874"/>
      <c r="B101" s="3229" t="s">
        <v>2334</v>
      </c>
      <c r="C101" s="3308">
        <f>SUM(C92:C100)</f>
        <v>13142</v>
      </c>
      <c r="D101" s="3308">
        <f>SUM(D92:D100)</f>
        <v>12709</v>
      </c>
    </row>
    <row r="102" spans="1:4">
      <c r="A102" s="2874"/>
      <c r="B102" s="2920"/>
      <c r="C102" s="2920"/>
      <c r="D102" s="2920"/>
    </row>
    <row r="103" spans="1:4">
      <c r="A103" s="2874"/>
      <c r="B103" s="2920"/>
      <c r="C103" s="2920"/>
      <c r="D103" s="2920"/>
    </row>
    <row r="104" spans="1:4">
      <c r="A104" s="2874"/>
      <c r="B104" s="2920"/>
      <c r="C104" s="2920"/>
      <c r="D104" s="2920"/>
    </row>
    <row r="105" spans="1:4">
      <c r="A105" s="2874"/>
      <c r="B105" s="3229" t="s">
        <v>2323</v>
      </c>
      <c r="C105" s="2920"/>
      <c r="D105" s="2920"/>
    </row>
    <row r="106" spans="1:4">
      <c r="A106" s="2874"/>
      <c r="B106" s="3229" t="s">
        <v>2473</v>
      </c>
      <c r="C106" s="3226">
        <f>C13</f>
        <v>9796</v>
      </c>
      <c r="D106" s="3315">
        <f>D13</f>
        <v>9726</v>
      </c>
    </row>
    <row r="107" spans="1:4">
      <c r="A107" s="2874"/>
      <c r="B107" s="3229" t="s">
        <v>2324</v>
      </c>
      <c r="C107" s="3226">
        <f>C23</f>
        <v>1052</v>
      </c>
      <c r="D107" s="3315">
        <f>D23</f>
        <v>1027</v>
      </c>
    </row>
    <row r="108" spans="1:4">
      <c r="A108" s="2874"/>
      <c r="B108" s="3229" t="s">
        <v>2325</v>
      </c>
      <c r="C108" s="3226">
        <f>C74</f>
        <v>31713</v>
      </c>
      <c r="D108" s="3315">
        <f>D74</f>
        <v>31036</v>
      </c>
    </row>
    <row r="109" spans="1:4">
      <c r="A109" s="2874"/>
      <c r="B109" s="3229" t="s">
        <v>2326</v>
      </c>
      <c r="C109" s="3226">
        <f>C80</f>
        <v>3360</v>
      </c>
      <c r="D109" s="3308">
        <f>D80</f>
        <v>3343</v>
      </c>
    </row>
    <row r="110" spans="1:4">
      <c r="A110" s="2874"/>
      <c r="B110" s="3229" t="s">
        <v>2327</v>
      </c>
      <c r="C110" s="3226">
        <f>C89</f>
        <v>5385</v>
      </c>
      <c r="D110" s="3315">
        <f>D89</f>
        <v>5385</v>
      </c>
    </row>
    <row r="111" spans="1:4" ht="15">
      <c r="A111" s="2874"/>
      <c r="B111" s="3229" t="s">
        <v>2328</v>
      </c>
      <c r="C111" s="3316">
        <f>C101</f>
        <v>13142</v>
      </c>
      <c r="D111" s="3313">
        <f>D101</f>
        <v>12709</v>
      </c>
    </row>
    <row r="112" spans="1:4">
      <c r="A112" s="2874"/>
      <c r="B112" s="3229" t="s">
        <v>2329</v>
      </c>
      <c r="C112" s="3308">
        <f>SUM(C106:C111)</f>
        <v>64448</v>
      </c>
      <c r="D112" s="3315">
        <f>SUM(D106:D111)</f>
        <v>63226</v>
      </c>
    </row>
    <row r="113" spans="1:4">
      <c r="A113" s="2874"/>
      <c r="B113" s="2920"/>
      <c r="C113" s="2920"/>
      <c r="D113" s="2920"/>
    </row>
    <row r="114" spans="1:4">
      <c r="A114" s="2874"/>
      <c r="B114" s="3229" t="s">
        <v>2330</v>
      </c>
      <c r="C114" s="2920"/>
      <c r="D114" s="2920"/>
    </row>
    <row r="115" spans="1:4">
      <c r="A115" s="2874"/>
      <c r="B115" s="3229" t="s">
        <v>2331</v>
      </c>
      <c r="C115" s="3314">
        <v>49500</v>
      </c>
      <c r="D115" s="3314">
        <v>45760</v>
      </c>
    </row>
    <row r="116" spans="1:4">
      <c r="A116" s="2874"/>
      <c r="B116" s="3229" t="s">
        <v>2332</v>
      </c>
      <c r="C116" s="3308">
        <v>58130</v>
      </c>
      <c r="D116" s="3308">
        <v>56619</v>
      </c>
    </row>
    <row r="117" spans="1:4">
      <c r="A117" s="2874"/>
      <c r="B117" s="3229" t="s">
        <v>2333</v>
      </c>
      <c r="C117" s="3313">
        <v>2207</v>
      </c>
      <c r="D117" s="3313">
        <v>1691</v>
      </c>
    </row>
    <row r="118" spans="1:4">
      <c r="A118" s="2874"/>
      <c r="B118" s="3229" t="s">
        <v>782</v>
      </c>
      <c r="C118" s="2920"/>
      <c r="D118" s="2920"/>
    </row>
    <row r="119" spans="1:4">
      <c r="A119" s="2874"/>
      <c r="B119" s="2920"/>
      <c r="C119" s="2920"/>
      <c r="D119" s="2920"/>
    </row>
    <row r="120" spans="1:4">
      <c r="A120" s="2874"/>
      <c r="B120" s="3229" t="s">
        <v>2334</v>
      </c>
      <c r="C120" s="3308"/>
      <c r="D120" s="3315"/>
    </row>
    <row r="121" spans="1:4">
      <c r="A121" s="2874"/>
      <c r="B121" s="2920"/>
      <c r="C121" s="2920"/>
      <c r="D121" s="2920"/>
    </row>
    <row r="122" spans="1:4">
      <c r="A122" s="2874"/>
      <c r="B122" s="2920"/>
      <c r="C122" s="3308">
        <f>C106+C107+C108+C109+C110+C111+C115+C116+C117</f>
        <v>174285</v>
      </c>
      <c r="D122" s="3315">
        <f>D112+D115+D116+D117</f>
        <v>167296</v>
      </c>
    </row>
    <row r="123" spans="1:4">
      <c r="A123" s="2874"/>
      <c r="B123" s="766"/>
      <c r="C123" s="766"/>
      <c r="D123" s="766"/>
    </row>
    <row r="124" spans="1:4">
      <c r="A124" s="2874"/>
    </row>
    <row r="125" spans="1:4">
      <c r="A125" s="2874" t="s">
        <v>782</v>
      </c>
      <c r="B125" s="2923"/>
      <c r="C125" s="2923"/>
      <c r="D125" s="2923"/>
    </row>
    <row r="127" spans="1:4">
      <c r="A127" s="2921" t="s">
        <v>787</v>
      </c>
    </row>
    <row r="128" spans="1:4">
      <c r="A128" s="766" t="s">
        <v>788</v>
      </c>
    </row>
  </sheetData>
  <phoneticPr fontId="4" type="noConversion"/>
  <hyperlinks>
    <hyperlink ref="A1" location="'תוכן הענינים'!A1" tooltip="לחץ להצגת גליון תוכן הענינים" display="הצג תוכן ענינים"/>
  </hyperlinks>
  <pageMargins left="0.34" right="0.5" top="1" bottom="1" header="0.5" footer="0.5"/>
  <pageSetup paperSize="9" orientation="portrait" blackAndWhite="1" horizontalDpi="300" verticalDpi="300" r:id="rId1"/>
  <headerFooter alignWithMargins="0">
    <oddHeader>&amp;L&amp;A</oddHeader>
    <oddFooter>&amp;C&amp;8&amp;P</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2"/>
  <dimension ref="A1:S402"/>
  <sheetViews>
    <sheetView showGridLines="0" showRowColHeaders="0" showZeros="0" rightToLeft="1" showOutlineSymbols="0" zoomScaleNormal="100" zoomScaleSheetLayoutView="75" workbookViewId="0"/>
  </sheetViews>
  <sheetFormatPr defaultColWidth="9.109375" defaultRowHeight="13.2"/>
  <cols>
    <col min="1" max="1" width="5.6640625" style="570" customWidth="1"/>
    <col min="2" max="2" width="23.109375" style="570" customWidth="1"/>
    <col min="3" max="3" width="12.33203125" style="570" customWidth="1"/>
    <col min="4" max="4" width="12.5546875" style="570" customWidth="1"/>
    <col min="5" max="9" width="12.33203125" style="570" customWidth="1"/>
    <col min="10" max="10" width="9.109375" style="570"/>
    <col min="11" max="11" width="9.109375" style="621"/>
    <col min="12" max="19" width="0" style="570" hidden="1" customWidth="1"/>
    <col min="20" max="16384" width="9.109375" style="570"/>
  </cols>
  <sheetData>
    <row r="1" spans="1:12" ht="19.5" customHeight="1">
      <c r="A1" s="1865"/>
      <c r="B1" s="1866"/>
      <c r="C1" s="1866"/>
      <c r="D1" s="3458" t="str">
        <f>'הגדרות כלליות'!D6</f>
        <v>עירית הרצליה</v>
      </c>
      <c r="E1" s="3332"/>
      <c r="F1" s="3332"/>
      <c r="G1" s="3332"/>
      <c r="H1" s="3332"/>
      <c r="I1" s="3332"/>
      <c r="J1" s="567"/>
      <c r="K1" s="569"/>
    </row>
    <row r="2" spans="1:12" ht="15.6">
      <c r="A2" s="567"/>
      <c r="B2" s="567"/>
      <c r="C2" s="567"/>
      <c r="D2" s="3394" t="str">
        <f>CONCATENATE("תמצית נתוני הדוחות הכספיים לשנת ",'הגדרות כלליות'!D10)</f>
        <v>תמצית נתוני הדוחות הכספיים לשנת 2015</v>
      </c>
      <c r="E2" s="3332"/>
      <c r="F2" s="3332"/>
      <c r="G2" s="3332"/>
      <c r="H2" s="3332"/>
      <c r="I2" s="3332"/>
      <c r="J2" s="1867"/>
      <c r="K2" s="569"/>
    </row>
    <row r="3" spans="1:12" ht="15" customHeight="1">
      <c r="A3" s="1868"/>
      <c r="B3" s="1869"/>
      <c r="C3" s="1869"/>
      <c r="D3" s="3394" t="s">
        <v>1059</v>
      </c>
      <c r="E3" s="3332"/>
      <c r="F3" s="3332"/>
      <c r="G3" s="3332"/>
      <c r="H3" s="3332"/>
      <c r="I3" s="3332"/>
      <c r="J3" s="567"/>
      <c r="K3" s="569"/>
    </row>
    <row r="4" spans="1:12" ht="15" customHeight="1">
      <c r="A4" s="7" t="s">
        <v>339</v>
      </c>
      <c r="B4" s="1870"/>
      <c r="C4" s="1870"/>
      <c r="D4" s="1871"/>
      <c r="E4" s="640"/>
      <c r="F4" s="640"/>
      <c r="G4" s="640"/>
      <c r="H4" s="640"/>
      <c r="I4" s="640"/>
      <c r="J4" s="571"/>
      <c r="K4" s="569"/>
    </row>
    <row r="5" spans="1:12" ht="30" customHeight="1">
      <c r="A5" s="571"/>
      <c r="B5" s="193" t="s">
        <v>1060</v>
      </c>
      <c r="C5" s="1872">
        <f>'נתונים כלליים'!$C$4</f>
        <v>102642</v>
      </c>
      <c r="D5" s="193" t="s">
        <v>1061</v>
      </c>
      <c r="E5" s="195"/>
      <c r="F5" s="1872">
        <f>'נתונים כלליים'!$C$5</f>
        <v>34384</v>
      </c>
      <c r="G5" s="193" t="s">
        <v>1062</v>
      </c>
      <c r="H5" s="195"/>
      <c r="I5" s="1872">
        <f>'נתונים כלליים'!$G$5</f>
        <v>8</v>
      </c>
      <c r="J5" s="195"/>
      <c r="K5" s="569"/>
    </row>
    <row r="6" spans="1:12">
      <c r="A6" s="195"/>
      <c r="B6" s="195"/>
      <c r="C6" s="195"/>
      <c r="D6" s="195"/>
      <c r="E6" s="195"/>
      <c r="F6" s="195"/>
      <c r="G6" s="195"/>
      <c r="H6" s="645"/>
      <c r="I6" s="195"/>
      <c r="J6" s="195"/>
      <c r="K6" s="178"/>
      <c r="L6" s="179"/>
    </row>
    <row r="7" spans="1:12" ht="19.5" customHeight="1">
      <c r="A7" s="1873">
        <v>1</v>
      </c>
      <c r="B7" s="1874" t="s">
        <v>1063</v>
      </c>
      <c r="C7" s="195"/>
      <c r="D7" s="195"/>
      <c r="E7" s="195"/>
      <c r="F7" s="195"/>
      <c r="G7" s="195"/>
      <c r="H7" s="195"/>
      <c r="I7" s="195"/>
      <c r="J7" s="195"/>
      <c r="K7" s="178"/>
      <c r="L7" s="179"/>
    </row>
    <row r="8" spans="1:12" ht="21.75" customHeight="1">
      <c r="A8" s="1873"/>
      <c r="B8" s="1874" t="s">
        <v>340</v>
      </c>
      <c r="C8" s="195"/>
      <c r="D8" s="195"/>
      <c r="E8" s="195"/>
      <c r="F8" s="644" t="s">
        <v>367</v>
      </c>
      <c r="G8" s="195"/>
      <c r="H8" s="195"/>
      <c r="I8" s="195"/>
      <c r="J8" s="195"/>
      <c r="K8" s="178"/>
      <c r="L8" s="179"/>
    </row>
    <row r="9" spans="1:12">
      <c r="A9" s="195"/>
      <c r="B9" s="1876"/>
      <c r="C9" s="1877">
        <f>'הגדרות כלליות'!D10</f>
        <v>2015</v>
      </c>
      <c r="D9" s="1878">
        <f>'הגדרות כלליות'!D12</f>
        <v>2014</v>
      </c>
      <c r="E9" s="195"/>
      <c r="F9" s="1879"/>
      <c r="G9" s="1880"/>
      <c r="H9" s="1881">
        <f>'הגדרות כלליות'!D10</f>
        <v>2015</v>
      </c>
      <c r="I9" s="1882">
        <f>'הגדרות כלליות'!D12</f>
        <v>2014</v>
      </c>
      <c r="J9" s="195"/>
      <c r="K9" s="178"/>
      <c r="L9" s="179"/>
    </row>
    <row r="10" spans="1:12">
      <c r="A10" s="195"/>
      <c r="B10" s="1883" t="s">
        <v>342</v>
      </c>
      <c r="C10" s="2847">
        <f>'טופס 1 אקטיב'!F12+'טופס 1 אקטיב'!F14</f>
        <v>254202</v>
      </c>
      <c r="D10" s="2848">
        <f>'טופס 1 אקטיב'!H12+'טופס 1 אקטיב'!H14</f>
        <v>241810</v>
      </c>
      <c r="E10" s="195"/>
      <c r="F10" s="1883" t="s">
        <v>368</v>
      </c>
      <c r="G10" s="1884"/>
      <c r="H10" s="2949">
        <f>'טופס 1 פאסיב'!G12</f>
        <v>234694</v>
      </c>
      <c r="I10" s="2848">
        <f>'טופס 1 פאסיב'!I12</f>
        <v>218448</v>
      </c>
      <c r="J10" s="1885"/>
      <c r="K10" s="178"/>
      <c r="L10" s="179"/>
    </row>
    <row r="11" spans="1:12">
      <c r="A11" s="195"/>
      <c r="B11" s="1883" t="s">
        <v>1064</v>
      </c>
      <c r="C11" s="2849">
        <f>'טופס 1 אקטיב'!F16+'טופס 1 אקטיב'!F18</f>
        <v>447168</v>
      </c>
      <c r="D11" s="2850">
        <f>'טופס 1 אקטיב'!H16+'טופס 1 אקטיב'!H18</f>
        <v>313118</v>
      </c>
      <c r="E11" s="195"/>
      <c r="F11" s="1883" t="str">
        <f>'טופס 1 פאסיב'!B14</f>
        <v>(***)</v>
      </c>
      <c r="G11" s="1884"/>
      <c r="H11" s="2849">
        <f>'טופס 1 פאסיב'!G14</f>
        <v>0</v>
      </c>
      <c r="I11" s="2850">
        <f>'טופס 1 פאסיב'!I14</f>
        <v>0</v>
      </c>
      <c r="J11" s="1885"/>
      <c r="K11" s="178"/>
      <c r="L11" s="179"/>
    </row>
    <row r="12" spans="1:12">
      <c r="A12" s="195"/>
      <c r="B12" s="1883" t="s">
        <v>1065</v>
      </c>
      <c r="C12" s="1886"/>
      <c r="D12" s="1887"/>
      <c r="E12" s="195"/>
      <c r="F12" s="1883" t="s">
        <v>308</v>
      </c>
      <c r="G12" s="1884"/>
      <c r="H12" s="2849">
        <f>'טופס 1 פאסיב'!G16+'טופס 1 פאסיב'!G21+'טופס 1 פאסיב'!G18</f>
        <v>171112</v>
      </c>
      <c r="I12" s="2850">
        <f>'טופס 1 פאסיב'!I16+'טופס 1 פאסיב'!I21+'טופס 1 פאסיב'!I18</f>
        <v>186536</v>
      </c>
      <c r="J12" s="1885"/>
      <c r="K12" s="178"/>
      <c r="L12" s="179"/>
    </row>
    <row r="13" spans="1:12">
      <c r="A13" s="195"/>
      <c r="B13" s="1883" t="s">
        <v>1066</v>
      </c>
      <c r="C13" s="2851">
        <f>'טופס 1 אקטיב'!F20+'טופס 1 אקטיב'!F22</f>
        <v>180910</v>
      </c>
      <c r="D13" s="2852">
        <f>'טופס 1 אקטיב'!H20+'טופס 1 אקטיב'!H22</f>
        <v>180745</v>
      </c>
      <c r="E13" s="195"/>
      <c r="F13" s="1883" t="s">
        <v>382</v>
      </c>
      <c r="G13" s="1884"/>
      <c r="H13" s="2849">
        <f xml:space="preserve"> 'טופס 1 פאסיב'!G23+'טופס 1 פאסיב'!G24</f>
        <v>180910</v>
      </c>
      <c r="I13" s="2850">
        <f>'טופס 1 פאסיב'!I23+'טופס 1 פאסיב'!I24</f>
        <v>180745</v>
      </c>
      <c r="J13" s="1885"/>
      <c r="K13" s="178"/>
      <c r="L13" s="179"/>
    </row>
    <row r="14" spans="1:12">
      <c r="A14" s="195"/>
      <c r="B14" s="1883" t="s">
        <v>1067</v>
      </c>
      <c r="C14" s="1886"/>
      <c r="D14" s="1887"/>
      <c r="E14" s="195"/>
      <c r="F14" s="1883" t="s">
        <v>1068</v>
      </c>
      <c r="G14" s="1884"/>
      <c r="H14" s="2849">
        <f>'טופס 1 פאסיב'!G31+'טופס 1 פאסיב'!G33</f>
        <v>19442</v>
      </c>
      <c r="I14" s="2850">
        <f>'טופס 1 פאסיב'!I31+'טופס 1 פאסיב'!I33</f>
        <v>23286</v>
      </c>
      <c r="J14" s="1885"/>
      <c r="K14" s="178"/>
      <c r="L14" s="179"/>
    </row>
    <row r="15" spans="1:12">
      <c r="A15" s="195"/>
      <c r="B15" s="1883" t="s">
        <v>1069</v>
      </c>
      <c r="C15" s="2853">
        <f>'טופס 1 אקטיב'!F29+'טופס 1 אקטיב'!F31</f>
        <v>0</v>
      </c>
      <c r="D15" s="2854">
        <f>'טופס 1 אקטיב'!H29+'טופס 1 אקטיב'!H31</f>
        <v>0</v>
      </c>
      <c r="E15" s="195"/>
      <c r="F15" s="1883"/>
      <c r="G15" s="1884"/>
      <c r="H15" s="1888"/>
      <c r="I15" s="1889"/>
      <c r="J15" s="1885"/>
      <c r="K15" s="178"/>
      <c r="L15" s="179"/>
    </row>
    <row r="16" spans="1:12">
      <c r="A16" s="195"/>
      <c r="B16" s="1883" t="s">
        <v>1070</v>
      </c>
      <c r="C16" s="2849">
        <f>'טופס 1 אקטיב'!F33+'טופס 1 אקטיב'!F34</f>
        <v>0</v>
      </c>
      <c r="D16" s="2850">
        <f>'טופס 1 אקטיב'!H33+'טופס 1 אקטיב'!H34</f>
        <v>0</v>
      </c>
      <c r="E16" s="195"/>
      <c r="F16" s="1883"/>
      <c r="G16" s="1884"/>
      <c r="H16" s="1888"/>
      <c r="I16" s="1889"/>
      <c r="J16" s="1885"/>
      <c r="K16" s="178"/>
      <c r="L16" s="179"/>
    </row>
    <row r="17" spans="1:12">
      <c r="A17" s="195"/>
      <c r="B17" s="1883" t="s">
        <v>1071</v>
      </c>
      <c r="C17" s="1886"/>
      <c r="D17" s="1887"/>
      <c r="E17" s="195"/>
      <c r="F17" s="1890"/>
      <c r="G17" s="583"/>
      <c r="H17" s="1888"/>
      <c r="I17" s="1889"/>
      <c r="J17" s="1885"/>
      <c r="K17" s="178"/>
      <c r="L17" s="179"/>
    </row>
    <row r="18" spans="1:12">
      <c r="A18" s="195"/>
      <c r="B18" s="1883" t="s">
        <v>1072</v>
      </c>
      <c r="C18" s="2851">
        <f>'טופס 1 אקטיב'!F36+'טופס 1 אקטיב'!F37</f>
        <v>0</v>
      </c>
      <c r="D18" s="2852">
        <f>'טופס 1 אקטיב'!H36+'טופס 1 אקטיב'!H37</f>
        <v>0</v>
      </c>
      <c r="E18" s="195"/>
      <c r="F18" s="1883" t="s">
        <v>1073</v>
      </c>
      <c r="G18" s="1884"/>
      <c r="H18" s="2851">
        <f>'טופס 1 פאסיב'!G17</f>
        <v>276122</v>
      </c>
      <c r="I18" s="2852">
        <f>'טופס 1 פאסיב'!I17</f>
        <v>126658</v>
      </c>
      <c r="J18" s="1885"/>
      <c r="K18" s="178"/>
      <c r="L18" s="179"/>
    </row>
    <row r="19" spans="1:12" ht="2.25" customHeight="1">
      <c r="A19" s="195"/>
      <c r="B19" s="1883"/>
      <c r="C19" s="1888"/>
      <c r="D19" s="1889"/>
      <c r="E19" s="195"/>
      <c r="F19" s="1883"/>
      <c r="G19" s="1884"/>
      <c r="H19" s="1888"/>
      <c r="I19" s="1889"/>
      <c r="J19" s="1885"/>
      <c r="K19" s="178"/>
      <c r="L19" s="179"/>
    </row>
    <row r="20" spans="1:12" ht="13.5" customHeight="1" thickBot="1">
      <c r="A20" s="195"/>
      <c r="B20" s="1883"/>
      <c r="C20" s="2855">
        <f>SUM(C10:C18)</f>
        <v>882280</v>
      </c>
      <c r="D20" s="2856">
        <f>SUM(D10:D18)</f>
        <v>735673</v>
      </c>
      <c r="E20" s="195"/>
      <c r="F20" s="1891"/>
      <c r="G20" s="251"/>
      <c r="H20" s="2855">
        <f>SUM(H10:H18)</f>
        <v>882280</v>
      </c>
      <c r="I20" s="2856">
        <f>SUM(I10:I18)</f>
        <v>735673</v>
      </c>
      <c r="J20" s="1885"/>
      <c r="K20" s="178"/>
      <c r="L20" s="179"/>
    </row>
    <row r="21" spans="1:12" ht="9" customHeight="1" thickTop="1">
      <c r="A21" s="195"/>
      <c r="B21" s="1892"/>
      <c r="C21" s="1893"/>
      <c r="D21" s="1894"/>
      <c r="E21" s="195"/>
      <c r="F21" s="1895"/>
      <c r="G21" s="1896"/>
      <c r="H21" s="1896"/>
      <c r="I21" s="1897"/>
      <c r="J21" s="1885"/>
      <c r="K21" s="178"/>
      <c r="L21" s="179"/>
    </row>
    <row r="22" spans="1:12">
      <c r="A22" s="195"/>
      <c r="B22" s="195"/>
      <c r="C22" s="195"/>
      <c r="D22" s="195"/>
      <c r="E22" s="195"/>
      <c r="F22" s="195"/>
      <c r="G22" s="195"/>
      <c r="H22" s="195"/>
      <c r="I22" s="195"/>
      <c r="J22" s="1885"/>
      <c r="K22" s="178"/>
      <c r="L22" s="179"/>
    </row>
    <row r="23" spans="1:12">
      <c r="A23" s="195"/>
      <c r="B23" s="195"/>
      <c r="C23" s="195"/>
      <c r="D23" s="195"/>
      <c r="E23" s="195"/>
      <c r="F23" s="195"/>
      <c r="G23" s="195"/>
      <c r="H23" s="195"/>
      <c r="I23" s="195"/>
      <c r="J23" s="1885"/>
      <c r="K23" s="178"/>
      <c r="L23" s="179"/>
    </row>
    <row r="24" spans="1:12" ht="18.75" customHeight="1">
      <c r="A24" s="1873">
        <v>2</v>
      </c>
      <c r="B24" s="1874" t="s">
        <v>1074</v>
      </c>
      <c r="C24" s="195"/>
      <c r="D24" s="195"/>
      <c r="E24" s="195"/>
      <c r="F24" s="195"/>
      <c r="G24" s="195"/>
      <c r="H24" s="195"/>
      <c r="I24" s="195"/>
      <c r="J24" s="1885"/>
      <c r="K24" s="178"/>
      <c r="L24" s="179"/>
    </row>
    <row r="25" spans="1:12" ht="18.75" customHeight="1">
      <c r="A25" s="1898" t="s">
        <v>1075</v>
      </c>
      <c r="B25" s="1874" t="s">
        <v>1076</v>
      </c>
      <c r="C25" s="195"/>
      <c r="D25" s="195"/>
      <c r="E25" s="195"/>
      <c r="F25" s="195"/>
      <c r="G25" s="195"/>
      <c r="H25" s="195"/>
      <c r="I25" s="195"/>
      <c r="J25" s="1885"/>
      <c r="K25" s="178"/>
      <c r="L25" s="179"/>
    </row>
    <row r="26" spans="1:12">
      <c r="A26" s="1898"/>
      <c r="B26" s="1899"/>
      <c r="C26" s="1900" t="s">
        <v>395</v>
      </c>
      <c r="D26" s="1900" t="s">
        <v>1077</v>
      </c>
      <c r="E26" s="1900"/>
      <c r="F26" s="1900" t="s">
        <v>396</v>
      </c>
      <c r="G26" s="1901"/>
      <c r="H26" s="195"/>
      <c r="I26" s="195"/>
      <c r="J26" s="1885"/>
      <c r="K26" s="178"/>
      <c r="L26" s="179"/>
    </row>
    <row r="27" spans="1:12">
      <c r="A27" s="195"/>
      <c r="B27" s="1902"/>
      <c r="C27" s="1903">
        <f>'הגדרות כלליות'!D10</f>
        <v>2015</v>
      </c>
      <c r="D27" s="1903">
        <f>'הגדרות כלליות'!D10</f>
        <v>2015</v>
      </c>
      <c r="E27" s="1904" t="s">
        <v>1078</v>
      </c>
      <c r="F27" s="1903">
        <f>'הגדרות כלליות'!D12</f>
        <v>2014</v>
      </c>
      <c r="G27" s="1905" t="s">
        <v>1078</v>
      </c>
      <c r="H27" s="195"/>
      <c r="I27" s="195"/>
      <c r="J27" s="1885"/>
      <c r="K27" s="178"/>
      <c r="L27" s="179"/>
    </row>
    <row r="28" spans="1:12">
      <c r="A28" s="195"/>
      <c r="B28" s="1883" t="s">
        <v>1079</v>
      </c>
      <c r="C28" s="2847">
        <f>'נספח 1 לטופס 2'!$D$20</f>
        <v>642311</v>
      </c>
      <c r="D28" s="2857">
        <f>'נספח 1 לטופס 2'!$F$20</f>
        <v>662635</v>
      </c>
      <c r="E28" s="3195">
        <f>IF($D$35=0,0,ROUND($D28/$D$35,2))</f>
        <v>0.78</v>
      </c>
      <c r="F28" s="2857">
        <f>'נספח 1 לטופס 2'!$N$20</f>
        <v>613719</v>
      </c>
      <c r="G28" s="3200">
        <f>IF($F$35=0,0,ROUND(F28/$F$35,2))</f>
        <v>0.77</v>
      </c>
      <c r="H28" s="195"/>
      <c r="I28" s="195"/>
      <c r="J28" s="1885"/>
      <c r="K28" s="178"/>
      <c r="L28" s="179"/>
    </row>
    <row r="29" spans="1:12">
      <c r="A29" s="195"/>
      <c r="B29" s="1883" t="s">
        <v>1080</v>
      </c>
      <c r="C29" s="2858">
        <f>'נספח 1 לטופס 2'!$D$22</f>
        <v>192428</v>
      </c>
      <c r="D29" s="2859">
        <f>'נספח 1 לטופס 2'!$F$22</f>
        <v>189826</v>
      </c>
      <c r="E29" s="3196">
        <f>IF(D35=0,0,1 - (E28+E30+ E31+E32+E33+E34))</f>
        <v>0.21999999999999997</v>
      </c>
      <c r="F29" s="2859">
        <f>'נספח 1 לטופס 2'!$N$22</f>
        <v>181649</v>
      </c>
      <c r="G29" s="3201">
        <f>IF(F35=0,0,1 - (G28+G30+ G31+G32+G33+G34))</f>
        <v>0.22999999999999998</v>
      </c>
      <c r="H29" s="195"/>
      <c r="I29" s="195"/>
      <c r="J29" s="1885"/>
      <c r="K29" s="178"/>
      <c r="L29" s="179"/>
    </row>
    <row r="30" spans="1:12">
      <c r="A30" s="195"/>
      <c r="B30" s="1883" t="s">
        <v>1081</v>
      </c>
      <c r="C30" s="2858">
        <f>'נספח 1 לטופס 2'!$D$23</f>
        <v>0</v>
      </c>
      <c r="D30" s="2859">
        <f>'נספח 1 לטופס 2'!$F$23</f>
        <v>0</v>
      </c>
      <c r="E30" s="3196">
        <f>IF($D$35=0,0,ROUND($D30/$D$35,2))</f>
        <v>0</v>
      </c>
      <c r="F30" s="2859">
        <f>'נספח 1 לטופס 2'!$N$23</f>
        <v>0</v>
      </c>
      <c r="G30" s="3201">
        <f>IF($F$35=0,0,ROUND(F30/$F$35,2))</f>
        <v>0</v>
      </c>
      <c r="H30" s="195"/>
      <c r="I30" s="195"/>
      <c r="J30" s="1885"/>
      <c r="K30" s="178"/>
      <c r="L30" s="179"/>
    </row>
    <row r="31" spans="1:12">
      <c r="A31" s="195"/>
      <c r="B31" s="1883" t="s">
        <v>7</v>
      </c>
      <c r="C31" s="2858">
        <f>'נספח 1 לטופס 2'!$D$24</f>
        <v>0</v>
      </c>
      <c r="D31" s="2859">
        <f>'נספח 1 לטופס 2'!$F$24</f>
        <v>0</v>
      </c>
      <c r="E31" s="3196">
        <f>IF($D$35=0,0,ROUND($D31/$D$35,2))</f>
        <v>0</v>
      </c>
      <c r="F31" s="2859">
        <f>'נספח 1 לטופס 2'!$N$24</f>
        <v>0</v>
      </c>
      <c r="G31" s="3201">
        <f t="shared" ref="G31:G34" si="0">IF($F$35=0,0,ROUND(F31/$F$35,2))</f>
        <v>0</v>
      </c>
      <c r="H31" s="195"/>
      <c r="I31" s="195"/>
      <c r="J31" s="1885"/>
      <c r="K31" s="178"/>
      <c r="L31" s="179"/>
    </row>
    <row r="32" spans="1:12" ht="13.5" customHeight="1">
      <c r="A32" s="195"/>
      <c r="B32" s="2650" t="s">
        <v>1083</v>
      </c>
      <c r="C32" s="2858">
        <f>'נספח 1 לטופס 2'!$D$25</f>
        <v>0</v>
      </c>
      <c r="D32" s="2859">
        <f>'נספח 1 לטופס 2'!$F$25</f>
        <v>0</v>
      </c>
      <c r="E32" s="3196">
        <f>IF($D$35=0,0,ROUND($D32/$D$35,2))</f>
        <v>0</v>
      </c>
      <c r="F32" s="2859">
        <f>'נספח 1 לטופס 2'!$N$25</f>
        <v>0</v>
      </c>
      <c r="G32" s="3201">
        <f t="shared" si="0"/>
        <v>0</v>
      </c>
      <c r="H32" s="195"/>
      <c r="I32" s="195"/>
      <c r="J32" s="1885"/>
      <c r="K32" s="178"/>
      <c r="L32" s="179"/>
    </row>
    <row r="33" spans="1:12" ht="12.75" customHeight="1">
      <c r="A33" s="195"/>
      <c r="B33" s="1906" t="s">
        <v>60</v>
      </c>
      <c r="C33" s="2849">
        <f>'נספח 1 לטופס 2'!$D$26</f>
        <v>0</v>
      </c>
      <c r="D33" s="2860">
        <f>'נספח 1 לטופס 2'!$F$26</f>
        <v>0</v>
      </c>
      <c r="E33" s="3197">
        <f>IF($D$35=0,0,ROUND($D33/$D$35,2))</f>
        <v>0</v>
      </c>
      <c r="F33" s="2860">
        <f>'נספח 1 לטופס 2'!$N$26</f>
        <v>0</v>
      </c>
      <c r="G33" s="3201">
        <f t="shared" si="0"/>
        <v>0</v>
      </c>
      <c r="H33" s="195"/>
      <c r="I33" s="195"/>
      <c r="J33" s="1885"/>
      <c r="K33" s="178"/>
      <c r="L33" s="179"/>
    </row>
    <row r="34" spans="1:12">
      <c r="A34" s="195"/>
      <c r="B34" s="1883" t="str">
        <f>'נספח 1 לטופס 2'!$C$27</f>
        <v>מענקים מיועדים</v>
      </c>
      <c r="C34" s="2861">
        <f>'נספח 1 לטופס 2'!$D$27</f>
        <v>1486</v>
      </c>
      <c r="D34" s="2862">
        <f>'נספח 1 לטופס 2'!$F$27</f>
        <v>1324</v>
      </c>
      <c r="E34" s="3198">
        <f>IF($D$35=0,0,ROUND($D34/$D$35,2))</f>
        <v>0</v>
      </c>
      <c r="F34" s="2862">
        <f>'נספח 1 לטופס 2'!$N$27</f>
        <v>327</v>
      </c>
      <c r="G34" s="3201">
        <f t="shared" si="0"/>
        <v>0</v>
      </c>
      <c r="H34" s="195"/>
      <c r="I34" s="195"/>
      <c r="J34" s="1885"/>
      <c r="K34" s="178"/>
      <c r="L34" s="179"/>
    </row>
    <row r="35" spans="1:12" ht="13.8" thickBot="1">
      <c r="A35" s="195"/>
      <c r="B35" s="1883"/>
      <c r="C35" s="2855">
        <f>SUM(C28:C34)</f>
        <v>836225</v>
      </c>
      <c r="D35" s="2863">
        <f>SUM(D28:D34)</f>
        <v>853785</v>
      </c>
      <c r="E35" s="3199">
        <f>SUM(E28:E34)</f>
        <v>1</v>
      </c>
      <c r="F35" s="2863">
        <f>SUM(F28:F34)</f>
        <v>795695</v>
      </c>
      <c r="G35" s="3202">
        <f>SUM(G28:G34)</f>
        <v>1</v>
      </c>
      <c r="H35" s="195"/>
      <c r="I35" s="195"/>
      <c r="J35" s="1885"/>
      <c r="K35" s="178"/>
      <c r="L35" s="179"/>
    </row>
    <row r="36" spans="1:12" ht="12" customHeight="1" thickTop="1">
      <c r="A36" s="195"/>
      <c r="B36" s="1892"/>
      <c r="C36" s="1907"/>
      <c r="D36" s="1907"/>
      <c r="E36" s="1907"/>
      <c r="F36" s="1907"/>
      <c r="G36" s="1908"/>
      <c r="H36" s="195"/>
      <c r="I36" s="195"/>
      <c r="J36" s="1885"/>
      <c r="K36" s="178"/>
      <c r="L36" s="179"/>
    </row>
    <row r="37" spans="1:12">
      <c r="A37" s="195"/>
      <c r="B37" s="195"/>
      <c r="C37" s="195"/>
      <c r="D37" s="195"/>
      <c r="E37" s="195"/>
      <c r="F37" s="195"/>
      <c r="G37" s="195"/>
      <c r="H37" s="195"/>
      <c r="I37" s="195"/>
      <c r="J37" s="1885"/>
      <c r="K37" s="178"/>
      <c r="L37" s="179"/>
    </row>
    <row r="38" spans="1:12" ht="18" customHeight="1">
      <c r="A38" s="195">
        <v>2.2000000000000002</v>
      </c>
      <c r="B38" s="644" t="s">
        <v>1084</v>
      </c>
      <c r="C38" s="195"/>
      <c r="D38" s="195"/>
      <c r="E38" s="195"/>
      <c r="F38" s="195"/>
      <c r="G38" s="195"/>
      <c r="H38" s="195"/>
      <c r="I38" s="195"/>
      <c r="J38" s="1885"/>
      <c r="K38" s="178"/>
      <c r="L38" s="179"/>
    </row>
    <row r="39" spans="1:12">
      <c r="A39" s="1873"/>
      <c r="B39" s="1909"/>
      <c r="C39" s="1910" t="s">
        <v>395</v>
      </c>
      <c r="D39" s="1910" t="s">
        <v>396</v>
      </c>
      <c r="E39" s="1910"/>
      <c r="F39" s="1910" t="s">
        <v>396</v>
      </c>
      <c r="G39" s="1911"/>
      <c r="H39" s="195"/>
      <c r="I39" s="195"/>
      <c r="J39" s="1885"/>
      <c r="K39" s="178"/>
      <c r="L39" s="179"/>
    </row>
    <row r="40" spans="1:12">
      <c r="A40" s="195"/>
      <c r="B40" s="1912"/>
      <c r="C40" s="1913">
        <f>'הגדרות כלליות'!D10</f>
        <v>2015</v>
      </c>
      <c r="D40" s="1913">
        <f>'הגדרות כלליות'!D10</f>
        <v>2015</v>
      </c>
      <c r="E40" s="1914" t="s">
        <v>1078</v>
      </c>
      <c r="F40" s="1913">
        <f>'הגדרות כלליות'!D12</f>
        <v>2014</v>
      </c>
      <c r="G40" s="1915" t="s">
        <v>1085</v>
      </c>
      <c r="H40" s="195"/>
      <c r="I40" s="195"/>
      <c r="J40" s="1885"/>
      <c r="K40" s="178"/>
      <c r="L40" s="179"/>
    </row>
    <row r="41" spans="1:12">
      <c r="A41" s="1916"/>
      <c r="B41" s="1658" t="s">
        <v>912</v>
      </c>
      <c r="C41" s="1917">
        <f>'נספח 1 לטופס 2  המשך'!$E$8</f>
        <v>332705</v>
      </c>
      <c r="D41" s="1918">
        <f>'נספח 1 לטופס 2  המשך'!$G$8</f>
        <v>319784</v>
      </c>
      <c r="E41" s="3187">
        <f>IF(D41=0,0,ROUND(D41/$D$50,2))</f>
        <v>0.38</v>
      </c>
      <c r="F41" s="1918">
        <f>'נספח 1 לטופס 2  המשך'!$O$8</f>
        <v>301819</v>
      </c>
      <c r="G41" s="3191">
        <f>IF(F41=0,0,ROUND(F41/$F$50,2))</f>
        <v>0.38</v>
      </c>
      <c r="H41" s="195"/>
      <c r="I41" s="195"/>
      <c r="J41" s="1885"/>
      <c r="K41" s="178"/>
      <c r="L41" s="179"/>
    </row>
    <row r="42" spans="1:12">
      <c r="A42" s="1916"/>
      <c r="B42" s="1658" t="s">
        <v>1509</v>
      </c>
      <c r="C42" s="1919">
        <f>'נספח 1 לטופס 2  המשך'!E9</f>
        <v>54023</v>
      </c>
      <c r="D42" s="1920">
        <f>'נספח 1 לטופס 2  המשך'!G9</f>
        <v>46474</v>
      </c>
      <c r="E42" s="3188">
        <f>IF(D42=0,0,ROUND(D42/$D$50,2))</f>
        <v>0.06</v>
      </c>
      <c r="F42" s="1920">
        <f>'נספח 1 לטופס 2  המשך'!O9</f>
        <v>47681</v>
      </c>
      <c r="G42" s="3192">
        <f>IF(F42=0,0,ROUND(F42/$F$50,2))</f>
        <v>0.06</v>
      </c>
      <c r="H42" s="195"/>
      <c r="I42" s="195"/>
      <c r="J42" s="1885"/>
      <c r="K42" s="178"/>
      <c r="L42" s="179"/>
    </row>
    <row r="43" spans="1:12">
      <c r="A43" s="1916"/>
      <c r="B43" s="1658" t="s">
        <v>1086</v>
      </c>
      <c r="C43" s="1919">
        <f>'נספח 1 לטופס 2  המשך'!E10</f>
        <v>2910</v>
      </c>
      <c r="D43" s="1920">
        <f>'נספח 1 לטופס 2  המשך'!G10</f>
        <v>2630</v>
      </c>
      <c r="E43" s="3188">
        <f>IF(D43=0,0,ROUND(D43/$D$50,2))</f>
        <v>0</v>
      </c>
      <c r="F43" s="1920">
        <f>'נספח 1 לטופס 2  המשך'!O10</f>
        <v>2503</v>
      </c>
      <c r="G43" s="3192">
        <f>IF(F43=0,0,ROUND(F43/$F$50,2))</f>
        <v>0</v>
      </c>
      <c r="H43" s="195"/>
      <c r="I43" s="195"/>
      <c r="J43" s="1885"/>
      <c r="K43" s="178"/>
      <c r="L43" s="179"/>
    </row>
    <row r="44" spans="1:12">
      <c r="A44" s="1916"/>
      <c r="B44" s="1658" t="s">
        <v>1206</v>
      </c>
      <c r="C44" s="1919">
        <f>'נספח 1 לטופס 2  המשך'!E11</f>
        <v>211784</v>
      </c>
      <c r="D44" s="1920">
        <f>'נספח 1 לטופס 2  המשך'!G11</f>
        <v>201312</v>
      </c>
      <c r="E44" s="3188">
        <f>IF(D50=0,0,IF(D44&lt;&gt;0,1 - (E41+E43+E47+E42+E45+E46+E48+E49),0))</f>
        <v>0.2400000000000001</v>
      </c>
      <c r="F44" s="1920">
        <f>'נספח 1 לטופס 2  המשך'!O11</f>
        <v>192082</v>
      </c>
      <c r="G44" s="3192">
        <f>IF(F50=0,0,IF(F44&lt;&gt;0,1 - (G41+G43+G47+G42+G45+G46+G48+G49),0))</f>
        <v>0.26</v>
      </c>
      <c r="H44" s="195"/>
      <c r="I44" s="195"/>
      <c r="J44" s="1885"/>
      <c r="K44" s="178"/>
      <c r="L44" s="179"/>
    </row>
    <row r="45" spans="1:12">
      <c r="A45" s="1916"/>
      <c r="B45" s="1658" t="s">
        <v>917</v>
      </c>
      <c r="C45" s="1919">
        <f>'נספח 1 לטופס 2  המשך'!E12</f>
        <v>174285</v>
      </c>
      <c r="D45" s="1920">
        <f>'נספח 1 לטופס 2  המשך'!G12</f>
        <v>167296</v>
      </c>
      <c r="E45" s="3188">
        <f>IF(D45=0,0,ROUND(D45/$D$50,2))</f>
        <v>0.2</v>
      </c>
      <c r="F45" s="1920">
        <f>'נספח 1 לטופס 2  המשך'!O12</f>
        <v>158513</v>
      </c>
      <c r="G45" s="3192">
        <f>IF(F45=0,0,ROUND(F45/$F$50,2))</f>
        <v>0.2</v>
      </c>
      <c r="H45" s="195"/>
      <c r="I45" s="195"/>
      <c r="J45" s="1885"/>
      <c r="K45" s="178"/>
      <c r="L45" s="179"/>
    </row>
    <row r="46" spans="1:12">
      <c r="A46" s="1916"/>
      <c r="B46" s="1658" t="s">
        <v>1087</v>
      </c>
      <c r="C46" s="1919">
        <f>'נספח 1 לטופס 2  המשך'!$E$13</f>
        <v>23918</v>
      </c>
      <c r="D46" s="1920">
        <f>'נספח 1 לטופס 2  המשך'!$G$13</f>
        <v>64139</v>
      </c>
      <c r="E46" s="3188">
        <f>IF(D46=0,0,ROUND(D46/$D$50,2))</f>
        <v>0.08</v>
      </c>
      <c r="F46" s="1920">
        <f>'נספח 1 לטופס 2  המשך'!$O$13</f>
        <v>42173</v>
      </c>
      <c r="G46" s="3192">
        <f>IF(F46=0,0,ROUND(F46/$F$50,2))</f>
        <v>0.05</v>
      </c>
      <c r="H46" s="195"/>
      <c r="I46" s="195"/>
      <c r="J46" s="1885"/>
      <c r="K46" s="178"/>
      <c r="L46" s="179"/>
    </row>
    <row r="47" spans="1:12">
      <c r="A47" s="1916"/>
      <c r="B47" s="1658" t="s">
        <v>921</v>
      </c>
      <c r="C47" s="1919">
        <f>'נספח 1 לטופס 2  המשך'!E14</f>
        <v>36600</v>
      </c>
      <c r="D47" s="1920">
        <f>'נספח 1 לטופס 2  המשך'!G14</f>
        <v>34633</v>
      </c>
      <c r="E47" s="3188">
        <f>IF(D47=0,0,ROUND(D47/$D$50,2))</f>
        <v>0.04</v>
      </c>
      <c r="F47" s="1920">
        <f>'נספח 1 לטופס 2  המשך'!O14</f>
        <v>40282</v>
      </c>
      <c r="G47" s="3192">
        <f>IF(F47=0,0,ROUND(F47/$F$50,2))</f>
        <v>0.05</v>
      </c>
      <c r="H47" s="195"/>
      <c r="I47" s="195"/>
      <c r="J47" s="1885"/>
      <c r="K47" s="178"/>
      <c r="L47" s="179"/>
    </row>
    <row r="48" spans="1:12" ht="12.75" customHeight="1">
      <c r="A48" s="1916"/>
      <c r="B48" s="591" t="s">
        <v>1083</v>
      </c>
      <c r="C48" s="1919">
        <f>'נספח 1 לטופס 2  המשך'!$E$15</f>
        <v>0</v>
      </c>
      <c r="D48" s="1920">
        <f>'נספח 1 לטופס 2  המשך'!G15</f>
        <v>0</v>
      </c>
      <c r="E48" s="3188">
        <f>IF(D48=0,0,ROUND(D48/$D$50,2))</f>
        <v>0</v>
      </c>
      <c r="F48" s="1920">
        <f>'נספח 1 לטופס 2  המשך'!$O$15</f>
        <v>0</v>
      </c>
      <c r="G48" s="3192">
        <f>IF(F48=0,0,ROUND(F48/$F$50,2))</f>
        <v>0</v>
      </c>
      <c r="H48" s="195"/>
      <c r="I48" s="195"/>
      <c r="J48" s="1885"/>
      <c r="K48" s="178"/>
      <c r="L48" s="179"/>
    </row>
    <row r="49" spans="1:12">
      <c r="A49" s="1916"/>
      <c r="B49" s="591" t="str">
        <f>'נספח 1 לטופס 2  המשך'!C16</f>
        <v>(***)</v>
      </c>
      <c r="C49" s="1921">
        <f>'נספח 1 לטופס 2  המשך'!$E$16</f>
        <v>0</v>
      </c>
      <c r="D49" s="1922">
        <f>'נספח 1 לטופס 2  המשך'!G16</f>
        <v>0</v>
      </c>
      <c r="E49" s="3189">
        <f>IF(D49=0,0,ROUND(D49/$D$50,2))</f>
        <v>0</v>
      </c>
      <c r="F49" s="1922">
        <f>'נספח 1 לטופס 2  המשך'!$O$16</f>
        <v>0</v>
      </c>
      <c r="G49" s="3193">
        <f>IF(F49=0,0,ROUND(F49/$F$50,2))</f>
        <v>0</v>
      </c>
      <c r="H49" s="195"/>
      <c r="I49" s="195"/>
      <c r="J49" s="1885"/>
      <c r="K49" s="178"/>
      <c r="L49" s="179"/>
    </row>
    <row r="50" spans="1:12" ht="13.8" thickBot="1">
      <c r="A50" s="1916"/>
      <c r="B50" s="1658"/>
      <c r="C50" s="790">
        <f>SUM(C41:C49)</f>
        <v>836225</v>
      </c>
      <c r="D50" s="791">
        <f>SUM(D41:D49)</f>
        <v>836268</v>
      </c>
      <c r="E50" s="3190">
        <f>SUM(E41:E49)</f>
        <v>1</v>
      </c>
      <c r="F50" s="791">
        <f>SUM(F41:F49)</f>
        <v>785053</v>
      </c>
      <c r="G50" s="3194">
        <f>SUM(G41:G49)</f>
        <v>1</v>
      </c>
      <c r="H50" s="195"/>
      <c r="I50" s="195"/>
      <c r="J50" s="1885"/>
      <c r="K50" s="178"/>
      <c r="L50" s="179"/>
    </row>
    <row r="51" spans="1:12" ht="0.75" customHeight="1" thickTop="1">
      <c r="A51" s="1916"/>
      <c r="B51" s="1658"/>
      <c r="C51" s="2864"/>
      <c r="D51" s="2864"/>
      <c r="E51" s="1923"/>
      <c r="F51" s="2864"/>
      <c r="G51" s="1924"/>
      <c r="H51" s="195"/>
      <c r="I51" s="195"/>
      <c r="J51" s="1885"/>
      <c r="K51" s="178"/>
      <c r="L51" s="179"/>
    </row>
    <row r="52" spans="1:12" ht="12.75" customHeight="1" thickBot="1">
      <c r="A52" s="1916"/>
      <c r="B52" s="1658" t="str">
        <f>+'טופס 2'!B61</f>
        <v>עודף בשנת הדוח</v>
      </c>
      <c r="C52" s="1925">
        <f>+C35-C50</f>
        <v>0</v>
      </c>
      <c r="D52" s="1926">
        <f>+D35-D50</f>
        <v>17517</v>
      </c>
      <c r="E52" s="1927"/>
      <c r="F52" s="1928">
        <f>+F35-F50</f>
        <v>10642</v>
      </c>
      <c r="G52" s="1929"/>
      <c r="H52" s="195"/>
      <c r="I52" s="195"/>
      <c r="J52" s="1885"/>
      <c r="K52" s="178"/>
      <c r="L52" s="179"/>
    </row>
    <row r="53" spans="1:12" ht="13.8" thickTop="1">
      <c r="A53" s="1916"/>
      <c r="B53" s="1930"/>
      <c r="C53" s="1893"/>
      <c r="D53" s="1893"/>
      <c r="E53" s="1896"/>
      <c r="F53" s="1893"/>
      <c r="G53" s="269"/>
      <c r="H53" s="195"/>
      <c r="I53" s="195"/>
      <c r="J53" s="1885"/>
      <c r="K53" s="178"/>
      <c r="L53" s="179"/>
    </row>
    <row r="54" spans="1:12">
      <c r="A54" s="1916"/>
      <c r="B54" s="1916"/>
      <c r="C54" s="1916"/>
      <c r="D54" s="1916"/>
      <c r="E54" s="1916"/>
      <c r="F54" s="1916"/>
      <c r="G54" s="1916"/>
      <c r="H54" s="195"/>
      <c r="I54" s="195"/>
      <c r="J54" s="1885"/>
      <c r="K54" s="178"/>
      <c r="L54" s="179"/>
    </row>
    <row r="55" spans="1:12" ht="18.75" customHeight="1">
      <c r="A55" s="1931">
        <v>3</v>
      </c>
      <c r="B55" s="644" t="s">
        <v>1088</v>
      </c>
      <c r="C55" s="1932"/>
      <c r="D55" s="1932"/>
      <c r="E55" s="1932"/>
      <c r="F55" s="1932"/>
      <c r="G55" s="1932"/>
      <c r="H55" s="195"/>
      <c r="I55" s="195"/>
      <c r="J55" s="1885"/>
      <c r="K55" s="178"/>
      <c r="L55" s="179"/>
    </row>
    <row r="56" spans="1:12">
      <c r="A56" s="1916"/>
      <c r="B56" s="815"/>
      <c r="C56" s="1933"/>
      <c r="D56" s="1933"/>
      <c r="E56" s="1933"/>
      <c r="F56" s="1934">
        <f>'הגדרות כלליות'!D10</f>
        <v>2015</v>
      </c>
      <c r="G56" s="1935">
        <f>'הגדרות כלליות'!D12</f>
        <v>2014</v>
      </c>
      <c r="H56" s="195"/>
      <c r="I56" s="195"/>
      <c r="J56" s="1885"/>
      <c r="K56" s="178"/>
      <c r="L56" s="179"/>
    </row>
    <row r="57" spans="1:12" ht="13.8" thickBot="1">
      <c r="A57" s="1916"/>
      <c r="B57" s="1658" t="s">
        <v>1089</v>
      </c>
      <c r="C57" s="251"/>
      <c r="D57" s="251"/>
      <c r="E57" s="251"/>
      <c r="F57" s="2865">
        <f>'נספח 3 לטופס 1'!$I$14</f>
        <v>128428</v>
      </c>
      <c r="G57" s="2866">
        <f>'נספח 3 לטופס 1'!$K$14</f>
        <v>158119</v>
      </c>
      <c r="H57" s="195"/>
      <c r="I57" s="195"/>
      <c r="J57" s="1885"/>
      <c r="K57" s="178"/>
      <c r="L57" s="179"/>
    </row>
    <row r="58" spans="1:12" ht="13.8" thickTop="1">
      <c r="A58" s="1916"/>
      <c r="B58" s="1930"/>
      <c r="C58" s="1896"/>
      <c r="D58" s="1896"/>
      <c r="E58" s="1896"/>
      <c r="F58" s="1896"/>
      <c r="G58" s="1897"/>
      <c r="H58" s="195"/>
      <c r="I58" s="195"/>
      <c r="J58" s="1885"/>
      <c r="K58" s="178"/>
      <c r="L58" s="179"/>
    </row>
    <row r="59" spans="1:12">
      <c r="A59" s="1916"/>
      <c r="B59" s="1916"/>
      <c r="C59" s="1916"/>
      <c r="D59" s="1916"/>
      <c r="E59" s="1916"/>
      <c r="F59" s="1916"/>
      <c r="G59" s="1916"/>
      <c r="H59" s="1916"/>
      <c r="I59" s="1916"/>
      <c r="J59" s="1885"/>
      <c r="K59" s="178"/>
      <c r="L59" s="179"/>
    </row>
    <row r="60" spans="1:12">
      <c r="A60" s="1916"/>
      <c r="B60" s="1916"/>
      <c r="C60" s="1916"/>
      <c r="D60" s="1916"/>
      <c r="E60" s="1916"/>
      <c r="F60" s="1916"/>
      <c r="G60" s="1916"/>
      <c r="H60" s="1916"/>
      <c r="I60" s="1916"/>
      <c r="J60" s="1885"/>
      <c r="K60" s="178"/>
      <c r="L60" s="179"/>
    </row>
    <row r="61" spans="1:12">
      <c r="A61" s="1916"/>
      <c r="B61" s="1916"/>
      <c r="C61" s="1916"/>
      <c r="D61" s="1916"/>
      <c r="E61" s="1916"/>
      <c r="F61" s="1916"/>
      <c r="G61" s="1916"/>
      <c r="H61" s="1916"/>
      <c r="I61" s="1916"/>
      <c r="J61" s="1885"/>
      <c r="K61" s="178"/>
      <c r="L61" s="179"/>
    </row>
    <row r="62" spans="1:12">
      <c r="A62" s="1916"/>
      <c r="B62" s="1916"/>
      <c r="C62" s="1916"/>
      <c r="D62" s="1916"/>
      <c r="E62" s="1916"/>
      <c r="F62" s="1916"/>
      <c r="G62" s="1916"/>
      <c r="H62" s="1916"/>
      <c r="I62" s="1916"/>
      <c r="J62" s="1885"/>
      <c r="K62" s="178"/>
      <c r="L62" s="179"/>
    </row>
    <row r="63" spans="1:12" ht="14.25" customHeight="1">
      <c r="A63" s="1936"/>
      <c r="B63" s="1936"/>
      <c r="C63" s="3678" t="str">
        <f>D1</f>
        <v>עירית הרצליה</v>
      </c>
      <c r="D63" s="3678"/>
      <c r="E63" s="3678"/>
      <c r="F63" s="3678"/>
      <c r="G63" s="3678"/>
      <c r="H63" s="1936"/>
      <c r="I63" s="1936"/>
      <c r="J63" s="1885"/>
      <c r="K63" s="178"/>
      <c r="L63" s="179"/>
    </row>
    <row r="64" spans="1:12" ht="15.6">
      <c r="A64" s="1937"/>
      <c r="B64" s="1938"/>
      <c r="C64" s="3676" t="str">
        <f>D2</f>
        <v>תמצית נתוני הדוחות הכספיים לשנת 2015</v>
      </c>
      <c r="D64" s="3677"/>
      <c r="E64" s="3677"/>
      <c r="F64" s="3677"/>
      <c r="G64" s="3677"/>
      <c r="H64" s="1938"/>
      <c r="I64" s="1938"/>
      <c r="J64" s="195"/>
      <c r="K64" s="178"/>
      <c r="L64" s="179"/>
    </row>
    <row r="65" spans="1:12" ht="15.6">
      <c r="A65" s="195"/>
      <c r="B65" s="195"/>
      <c r="C65" s="3665" t="s">
        <v>1059</v>
      </c>
      <c r="D65" s="3665"/>
      <c r="E65" s="3665"/>
      <c r="F65" s="3665"/>
      <c r="G65" s="3665"/>
      <c r="H65" s="195"/>
      <c r="I65" s="195"/>
      <c r="J65" s="195"/>
      <c r="K65" s="178"/>
      <c r="L65" s="179"/>
    </row>
    <row r="66" spans="1:12">
      <c r="A66" s="195"/>
      <c r="B66" s="195"/>
      <c r="C66" s="195"/>
      <c r="D66" s="195"/>
      <c r="E66" s="195"/>
      <c r="F66" s="195"/>
      <c r="G66" s="195"/>
      <c r="H66" s="195"/>
      <c r="I66" s="195"/>
      <c r="J66" s="195"/>
      <c r="K66" s="178"/>
      <c r="L66" s="179"/>
    </row>
    <row r="67" spans="1:12" ht="19.5" customHeight="1">
      <c r="A67" s="1873">
        <v>4</v>
      </c>
      <c r="B67" s="1939" t="s">
        <v>1090</v>
      </c>
      <c r="C67" s="195"/>
      <c r="D67" s="195"/>
      <c r="E67" s="195"/>
      <c r="F67" s="195"/>
      <c r="G67" s="195"/>
      <c r="H67" s="195"/>
      <c r="I67" s="195"/>
      <c r="J67" s="195"/>
      <c r="K67" s="178"/>
      <c r="L67" s="179"/>
    </row>
    <row r="68" spans="1:12" ht="18.75" customHeight="1">
      <c r="A68" s="195"/>
      <c r="B68" s="1940" t="s">
        <v>392</v>
      </c>
      <c r="C68" s="195"/>
      <c r="D68" s="195"/>
      <c r="E68" s="195"/>
      <c r="F68" s="1940" t="s">
        <v>393</v>
      </c>
      <c r="G68" s="1940"/>
      <c r="H68" s="195"/>
      <c r="I68" s="195"/>
      <c r="J68" s="195"/>
      <c r="K68" s="178"/>
      <c r="L68" s="179"/>
    </row>
    <row r="69" spans="1:12">
      <c r="A69" s="195"/>
      <c r="B69" s="1941"/>
      <c r="C69" s="1942">
        <f>'הגדרות כלליות'!D10</f>
        <v>2015</v>
      </c>
      <c r="D69" s="1943">
        <f>'הגדרות כלליות'!D12</f>
        <v>2014</v>
      </c>
      <c r="E69" s="195"/>
      <c r="F69" s="1944"/>
      <c r="G69" s="373"/>
      <c r="H69" s="1945">
        <f>'הגדרות כלליות'!D10</f>
        <v>2015</v>
      </c>
      <c r="I69" s="1946">
        <f>'הגדרות כלליות'!D12</f>
        <v>2014</v>
      </c>
      <c r="J69" s="195"/>
      <c r="K69" s="178"/>
      <c r="L69" s="179"/>
    </row>
    <row r="70" spans="1:12">
      <c r="A70" s="195"/>
      <c r="B70" s="1658" t="s">
        <v>1091</v>
      </c>
      <c r="C70" s="1947">
        <f>'טופס 3'!$G$32</f>
        <v>1464735</v>
      </c>
      <c r="D70" s="1948">
        <f>'טופס 3'!$I$32</f>
        <v>1328092</v>
      </c>
      <c r="E70" s="195"/>
      <c r="F70" s="1949" t="s">
        <v>1091</v>
      </c>
      <c r="G70" s="1950"/>
      <c r="H70" s="1947">
        <f>'טופס 3'!$G$33</f>
        <v>1338077</v>
      </c>
      <c r="I70" s="1948">
        <f>'טופס 3'!$I$33</f>
        <v>1215577</v>
      </c>
      <c r="J70" s="1885"/>
      <c r="K70" s="1951"/>
      <c r="L70" s="179"/>
    </row>
    <row r="71" spans="1:12">
      <c r="A71" s="195"/>
      <c r="B71" s="1658" t="s">
        <v>865</v>
      </c>
      <c r="C71" s="1919">
        <f>'טופס 3'!$G$18</f>
        <v>321430</v>
      </c>
      <c r="D71" s="1952">
        <f>'טופס 3'!$I$18</f>
        <v>254652</v>
      </c>
      <c r="E71" s="195"/>
      <c r="F71" s="1949" t="s">
        <v>865</v>
      </c>
      <c r="G71" s="1950"/>
      <c r="H71" s="1919">
        <f>'טופס 3'!$G$27</f>
        <v>171966</v>
      </c>
      <c r="I71" s="1952">
        <f>'טופס 3'!$I$27</f>
        <v>240509</v>
      </c>
      <c r="J71" s="1885"/>
      <c r="K71" s="1951"/>
      <c r="L71" s="179"/>
    </row>
    <row r="72" spans="1:12">
      <c r="A72" s="195"/>
      <c r="B72" s="1658" t="s">
        <v>1092</v>
      </c>
      <c r="C72" s="1921">
        <f>-1*('טופס 3'!$G$47)</f>
        <v>-103505</v>
      </c>
      <c r="D72" s="1953">
        <f>-1*'טופס 3'!$I$47</f>
        <v>-118009</v>
      </c>
      <c r="E72" s="195"/>
      <c r="F72" s="1949" t="s">
        <v>1092</v>
      </c>
      <c r="G72" s="1950"/>
      <c r="H72" s="1921">
        <f>-1*'טופס 3'!$G$47</f>
        <v>-103505</v>
      </c>
      <c r="I72" s="1953">
        <f>-1*'טופס 3'!$I$47</f>
        <v>-118009</v>
      </c>
      <c r="J72" s="1885"/>
      <c r="K72" s="1951"/>
      <c r="L72" s="179"/>
    </row>
    <row r="73" spans="1:12" ht="13.8" thickBot="1">
      <c r="A73" s="195"/>
      <c r="B73" s="1658" t="s">
        <v>1093</v>
      </c>
      <c r="C73" s="790">
        <f>C70+C71+C72</f>
        <v>1682660</v>
      </c>
      <c r="D73" s="792">
        <f>D70+D71+D72</f>
        <v>1464735</v>
      </c>
      <c r="E73" s="195"/>
      <c r="F73" s="1949" t="s">
        <v>1093</v>
      </c>
      <c r="G73" s="1950"/>
      <c r="H73" s="790">
        <f>H70+H71+H72</f>
        <v>1406538</v>
      </c>
      <c r="I73" s="792">
        <f>I70+I71+I72</f>
        <v>1338077</v>
      </c>
      <c r="J73" s="1885"/>
      <c r="K73" s="1951"/>
      <c r="L73" s="179"/>
    </row>
    <row r="74" spans="1:12" ht="3.75" customHeight="1" thickTop="1">
      <c r="A74" s="195"/>
      <c r="B74" s="1658"/>
      <c r="C74" s="1954"/>
      <c r="D74" s="1955"/>
      <c r="E74" s="195"/>
      <c r="F74" s="1949"/>
      <c r="G74" s="1950"/>
      <c r="H74" s="1956"/>
      <c r="I74" s="1957"/>
      <c r="J74" s="1885"/>
      <c r="K74" s="1951"/>
      <c r="L74" s="179"/>
    </row>
    <row r="75" spans="1:12" ht="13.8" thickBot="1">
      <c r="A75" s="195"/>
      <c r="B75" s="1658" t="s">
        <v>1094</v>
      </c>
      <c r="C75" s="1958">
        <f>IF(C73&gt;H73,C73-H73,0)</f>
        <v>276122</v>
      </c>
      <c r="D75" s="1959">
        <f>IF(D73&gt;I73,D73-I73,0)</f>
        <v>126658</v>
      </c>
      <c r="E75" s="195"/>
      <c r="F75" s="1949" t="s">
        <v>1095</v>
      </c>
      <c r="G75" s="1950"/>
      <c r="H75" s="1960">
        <f>IF(H73&gt;C73,H73-C73,0)</f>
        <v>0</v>
      </c>
      <c r="I75" s="1961">
        <f>IF(I73&gt;D73,I73-D73,0)</f>
        <v>0</v>
      </c>
      <c r="J75" s="1885"/>
      <c r="K75" s="1951"/>
      <c r="L75" s="179"/>
    </row>
    <row r="76" spans="1:12" ht="11.25" customHeight="1" thickTop="1">
      <c r="A76" s="195"/>
      <c r="B76" s="1930"/>
      <c r="C76" s="1962"/>
      <c r="D76" s="1963"/>
      <c r="E76" s="195"/>
      <c r="F76" s="1895"/>
      <c r="G76" s="1896"/>
      <c r="H76" s="1896"/>
      <c r="I76" s="1897"/>
      <c r="J76" s="1885"/>
      <c r="K76" s="1951"/>
      <c r="L76" s="179"/>
    </row>
    <row r="77" spans="1:12">
      <c r="A77" s="195"/>
      <c r="B77" s="195"/>
      <c r="C77" s="195"/>
      <c r="D77" s="195"/>
      <c r="E77" s="195"/>
      <c r="F77" s="195"/>
      <c r="G77" s="195"/>
      <c r="H77" s="195"/>
      <c r="I77" s="195"/>
      <c r="J77" s="195"/>
      <c r="K77" s="1951"/>
      <c r="L77" s="179"/>
    </row>
    <row r="78" spans="1:12" ht="19.5" customHeight="1">
      <c r="A78" s="195">
        <v>5</v>
      </c>
      <c r="B78" s="1939" t="s">
        <v>1096</v>
      </c>
      <c r="C78" s="1885"/>
      <c r="D78" s="1885"/>
      <c r="E78" s="1885"/>
      <c r="F78" s="1939" t="s">
        <v>1097</v>
      </c>
      <c r="G78" s="1885"/>
      <c r="H78" s="1885"/>
      <c r="I78" s="1885"/>
      <c r="J78" s="1885"/>
      <c r="K78" s="1951"/>
      <c r="L78" s="179"/>
    </row>
    <row r="79" spans="1:12">
      <c r="A79" s="195"/>
      <c r="B79" s="815"/>
      <c r="C79" s="1942">
        <f>'הגדרות כלליות'!D10</f>
        <v>2015</v>
      </c>
      <c r="D79" s="1942">
        <f>'הגדרות כלליות'!D12</f>
        <v>2014</v>
      </c>
      <c r="E79" s="1964"/>
      <c r="F79" s="1965"/>
      <c r="G79" s="1933"/>
      <c r="H79" s="1942">
        <f>'הגדרות כלליות'!D10</f>
        <v>2015</v>
      </c>
      <c r="I79" s="1943">
        <f>'הגדרות כלליות'!D12</f>
        <v>2014</v>
      </c>
      <c r="J79" s="1885"/>
      <c r="K79" s="1951"/>
      <c r="L79" s="179"/>
    </row>
    <row r="80" spans="1:12">
      <c r="A80" s="195"/>
      <c r="B80" s="1658" t="s">
        <v>1098</v>
      </c>
      <c r="C80" s="1917">
        <f>'נספח 2 לטופס 1 - פירוט ד'!D9</f>
        <v>150029</v>
      </c>
      <c r="D80" s="1966">
        <f>'נספח 2 לטופס 1 - פירוט ד'!F9+'נספח 2 לטופס 1 - פירוט ד'!F10</f>
        <v>134943</v>
      </c>
      <c r="E80" s="1967"/>
      <c r="F80" s="1658" t="s">
        <v>1098</v>
      </c>
      <c r="G80" s="251"/>
      <c r="H80" s="1917">
        <f>'נספח 2 לטופס 1 - פירוט ד'!H9</f>
        <v>788</v>
      </c>
      <c r="I80" s="1968">
        <f>'נספח 2 לטופס 1 - פירוט ד'!J9+'נספח 2 לטופס 1 - פירוט ד'!J10</f>
        <v>797</v>
      </c>
      <c r="J80" s="1885"/>
      <c r="K80" s="1951"/>
      <c r="L80" s="179"/>
    </row>
    <row r="81" spans="1:19">
      <c r="A81" s="195"/>
      <c r="B81" s="1658" t="s">
        <v>1099</v>
      </c>
      <c r="C81" s="1919">
        <f>'נספח 2 לטופס 1 - פירוט ד'!D10+'נספח 2 לטופס 1 - פירוט ד'!D11+'נספח 2 לטופס 1 - פירוט ד'!D13+'נספח 2 לטופס 1 - פירוט ד'!D20+'נספח 2 לטופס 1 - פירוט ד'!D21+'נספח 2 לטופס 1 - פירוט ד'!D23</f>
        <v>545483.79</v>
      </c>
      <c r="D81" s="1969">
        <f>'נספח 2 לטופס 1 - פירוט ד'!F11+'נספח 2 לטופס 1 - פירוט ד'!F13+'נספח 2 לטופס 1 - פירוט ד'!F20+'נספח 2 לטופס 1 - פירוט ד'!F21+'נספח 2 לטופס 1 - פירוט ד'!F23</f>
        <v>519591</v>
      </c>
      <c r="E81" s="1967"/>
      <c r="F81" s="1658" t="s">
        <v>1099</v>
      </c>
      <c r="G81" s="251"/>
      <c r="H81" s="1919">
        <f>'נספח 2 לטופס 1 - פירוט ד'!H10+'נספח 2 לטופס 1 - פירוט ד'!H11+'נספח 2 לטופס 1 - פירוט ד'!H13+'נספח 2 לטופס 1 - פירוט ד'!H20+'נספח 2 לטופס 1 - פירוט ד'!H21+'נספח 2 לטופס 1 - פירוט ד'!H23</f>
        <v>36</v>
      </c>
      <c r="I81" s="1952">
        <f>'נספח 2 לטופס 1 - פירוט ד'!J11+'נספח 2 לטופס 1 - פירוט ד'!J13+'נספח 2 לטופס 1 - פירוט ד'!J20+'נספח 2 לטופס 1 - פירוט ד'!J21+'נספח 2 לטופס 1 - פירוט ד'!J23</f>
        <v>1289</v>
      </c>
      <c r="J81" s="1885"/>
      <c r="K81" s="1951"/>
      <c r="L81" s="179"/>
    </row>
    <row r="82" spans="1:19">
      <c r="A82" s="195"/>
      <c r="B82" s="1658" t="s">
        <v>1100</v>
      </c>
      <c r="C82" s="1970">
        <f>'נספח 2 לטופס 1 - פירוט ד'!D14+'נספח 2 לטופס 1 - פירוט ד'!D24</f>
        <v>-47195</v>
      </c>
      <c r="D82" s="1971">
        <f>'נספח 2 לטופס 1 - פירוט ד'!F14+'נספח 2 לטופס 1 - פירוט ד'!F24</f>
        <v>-46221</v>
      </c>
      <c r="E82" s="1967"/>
      <c r="F82" s="1658" t="s">
        <v>1100</v>
      </c>
      <c r="G82" s="251"/>
      <c r="H82" s="1970">
        <f>'נספח 2 לטופס 1 - פירוט ד'!H14+'נספח 2 לטופס 1 - פירוט ד'!H24</f>
        <v>0</v>
      </c>
      <c r="I82" s="1972">
        <f>'נספח 2 לטופס 1 - פירוט ד'!J14+'נספח 2 לטופס 1 - פירוט ד'!J24</f>
        <v>0</v>
      </c>
      <c r="J82" s="1885"/>
      <c r="K82" s="1951"/>
      <c r="L82" s="179"/>
    </row>
    <row r="83" spans="1:19">
      <c r="A83" s="195"/>
      <c r="B83" s="3203" t="s">
        <v>100</v>
      </c>
      <c r="C83" s="1970">
        <f>'נספח 2 לטופס 1 - פירוט ד'!D12+'נספח 2 לטופס 1 - פירוט ד'!D22</f>
        <v>-4240</v>
      </c>
      <c r="D83" s="1971">
        <f>'נספח 2 לטופס 1 - פירוט ד'!F12+'נספח 2 לטופס 1 - פירוט ד'!F22</f>
        <v>-4451</v>
      </c>
      <c r="E83" s="1967"/>
      <c r="F83" s="3689" t="s">
        <v>100</v>
      </c>
      <c r="G83" s="3689"/>
      <c r="H83" s="1922">
        <f>'נספח 2 לטופס 1 - פירוט ד'!H12+'נספח 2 לטופס 1 - פירוט ד'!H22</f>
        <v>785</v>
      </c>
      <c r="I83" s="1972">
        <f>'נספח 2 לטופס 1 - פירוט ד'!J12+'נספח 2 לטופס 1 - פירוט ד'!J22</f>
        <v>-525</v>
      </c>
      <c r="J83" s="1885"/>
      <c r="K83" s="1951"/>
      <c r="L83" s="179"/>
    </row>
    <row r="84" spans="1:19" ht="12.75" customHeight="1">
      <c r="A84" s="195"/>
      <c r="B84" s="1658" t="s">
        <v>1101</v>
      </c>
      <c r="C84" s="1973">
        <f>C80+C81+C82+C83</f>
        <v>644077.79</v>
      </c>
      <c r="D84" s="1974">
        <f>D80+D81+D82+D83</f>
        <v>603862</v>
      </c>
      <c r="E84" s="1967"/>
      <c r="F84" s="789" t="s">
        <v>1101</v>
      </c>
      <c r="G84" s="1975"/>
      <c r="H84" s="1973">
        <f>H80+H81+H82+H83</f>
        <v>1609</v>
      </c>
      <c r="I84" s="1976">
        <f>I80+I81+I82+I83</f>
        <v>1561</v>
      </c>
      <c r="J84" s="1885"/>
      <c r="K84" s="1951"/>
      <c r="L84" s="179"/>
    </row>
    <row r="85" spans="1:19" ht="13.5" customHeight="1">
      <c r="A85" s="195"/>
      <c r="B85" s="1658" t="s">
        <v>1102</v>
      </c>
      <c r="C85" s="1970">
        <f>'נספח 2 לטופס 1 - פירוט ד'!D16+'נספח 2 לטופס 1 - פירוט ד'!D30</f>
        <v>491977</v>
      </c>
      <c r="D85" s="1971">
        <f>'נספח 2 לטופס 1 - פירוט ד'!F16+'נספח 2 לטופס 1 - פירוט ד'!F30</f>
        <v>453833</v>
      </c>
      <c r="E85" s="1967"/>
      <c r="F85" s="789" t="s">
        <v>1102</v>
      </c>
      <c r="G85" s="1975"/>
      <c r="H85" s="1970">
        <f>'נספח 2 לטופס 1 - פירוט ד'!H16+'נספח 2 לטופס 1 - פירוט ד'!H30</f>
        <v>832</v>
      </c>
      <c r="I85" s="1977">
        <f>'נספח 2 לטופס 1 - פירוט ד'!J16+'נספח 2 לטופס 1 - פירוט ד'!J30</f>
        <v>773</v>
      </c>
      <c r="J85" s="1885"/>
      <c r="K85" s="1951"/>
      <c r="L85" s="179"/>
    </row>
    <row r="86" spans="1:19" ht="3" customHeight="1">
      <c r="A86" s="195"/>
      <c r="B86" s="1658"/>
      <c r="C86" s="1956"/>
      <c r="D86" s="1956"/>
      <c r="E86" s="1967"/>
      <c r="F86" s="1891"/>
      <c r="G86" s="251"/>
      <c r="H86" s="1956"/>
      <c r="I86" s="1957"/>
      <c r="J86" s="1885"/>
      <c r="K86" s="1951"/>
      <c r="L86" s="179"/>
    </row>
    <row r="87" spans="1:19">
      <c r="A87" s="195"/>
      <c r="B87" s="1658" t="s">
        <v>1103</v>
      </c>
      <c r="C87" s="3172">
        <f>+C84-C85</f>
        <v>152100.79000000004</v>
      </c>
      <c r="D87" s="3173">
        <f>+D84-D85</f>
        <v>150029</v>
      </c>
      <c r="E87" s="1967"/>
      <c r="F87" s="1658" t="s">
        <v>1103</v>
      </c>
      <c r="G87" s="251"/>
      <c r="H87" s="3172">
        <f>+H84-H85</f>
        <v>777</v>
      </c>
      <c r="I87" s="3173">
        <f>+I84-I85</f>
        <v>788</v>
      </c>
      <c r="J87" s="1885"/>
      <c r="K87" s="1951"/>
      <c r="L87" s="179"/>
    </row>
    <row r="88" spans="1:19">
      <c r="A88" s="3161"/>
      <c r="B88" s="1658" t="s">
        <v>1289</v>
      </c>
      <c r="C88" s="3170">
        <f>'נספח 2 לטופס 1'!I14</f>
        <v>142368</v>
      </c>
      <c r="D88" s="3170">
        <f>'נספח 2 לטופס 1'!D14</f>
        <v>149850</v>
      </c>
      <c r="E88" s="1967"/>
      <c r="F88" s="1658" t="s">
        <v>1289</v>
      </c>
      <c r="G88" s="251"/>
      <c r="H88" s="3170">
        <f>'נספח 2 לטופס 1'!I18</f>
        <v>22079</v>
      </c>
      <c r="I88" s="3171">
        <f>'נספח 2 לטופס 1'!D18</f>
        <v>22398</v>
      </c>
      <c r="J88" s="1885"/>
      <c r="K88" s="1951"/>
      <c r="L88" s="3164"/>
    </row>
    <row r="89" spans="1:19" ht="27.75" customHeight="1" thickBot="1">
      <c r="A89" s="3161"/>
      <c r="B89" s="3204" t="s">
        <v>1592</v>
      </c>
      <c r="C89" s="1978">
        <f>C87+C88</f>
        <v>294468.79000000004</v>
      </c>
      <c r="D89" s="1979">
        <f>D87+D88</f>
        <v>299879</v>
      </c>
      <c r="E89" s="1967"/>
      <c r="F89" s="3690" t="s">
        <v>1592</v>
      </c>
      <c r="G89" s="3691"/>
      <c r="H89" s="3205">
        <f>H87+H88</f>
        <v>22856</v>
      </c>
      <c r="I89" s="1979">
        <f>I87+I88</f>
        <v>23186</v>
      </c>
      <c r="J89" s="1885"/>
      <c r="K89" s="1951"/>
      <c r="L89" s="3164"/>
    </row>
    <row r="90" spans="1:19" ht="13.8" thickTop="1">
      <c r="A90" s="195"/>
      <c r="B90" s="774"/>
      <c r="C90" s="1980"/>
      <c r="D90" s="1980"/>
      <c r="E90" s="1967"/>
      <c r="F90" s="774"/>
      <c r="G90" s="251"/>
      <c r="H90" s="1980"/>
      <c r="I90" s="1981"/>
      <c r="J90" s="1885"/>
      <c r="K90" s="1951"/>
      <c r="L90" s="179" t="s">
        <v>760</v>
      </c>
      <c r="P90" s="2977" t="s">
        <v>1121</v>
      </c>
    </row>
    <row r="91" spans="1:19">
      <c r="A91" s="195"/>
      <c r="B91" s="774" t="s">
        <v>1593</v>
      </c>
      <c r="C91" s="1980"/>
      <c r="D91" s="1980"/>
      <c r="E91" s="1967"/>
      <c r="F91" s="774" t="s">
        <v>1593</v>
      </c>
      <c r="G91" s="251"/>
      <c r="H91" s="1980"/>
      <c r="I91" s="1981"/>
      <c r="J91" s="1885"/>
      <c r="K91" s="1951"/>
      <c r="L91" s="179" t="s">
        <v>764</v>
      </c>
      <c r="M91" s="2977" t="s">
        <v>761</v>
      </c>
      <c r="N91" s="2977" t="s">
        <v>762</v>
      </c>
      <c r="O91" s="2977" t="s">
        <v>763</v>
      </c>
      <c r="P91" s="2977" t="s">
        <v>764</v>
      </c>
      <c r="Q91" s="2977" t="s">
        <v>761</v>
      </c>
      <c r="R91" s="2977" t="s">
        <v>762</v>
      </c>
      <c r="S91" s="2977" t="s">
        <v>763</v>
      </c>
    </row>
    <row r="92" spans="1:19">
      <c r="A92" s="195"/>
      <c r="B92" s="1658" t="s">
        <v>622</v>
      </c>
      <c r="C92" s="1982">
        <f>IF(L92&lt;&gt;0,L93/L92,0)</f>
        <v>0.36380420529347679</v>
      </c>
      <c r="D92" s="1983">
        <f>IF(M92&lt;&gt;0,M93/M92,0)</f>
        <v>0.34899248072031008</v>
      </c>
      <c r="E92" s="1967"/>
      <c r="F92" s="1658" t="s">
        <v>622</v>
      </c>
      <c r="G92" s="251"/>
      <c r="H92" s="1982">
        <f>IF(N92&lt;&gt;0,N93/N92,0)</f>
        <v>0.51709136109384712</v>
      </c>
      <c r="I92" s="1984">
        <f>IF(O92&lt;&gt;0,O93/O92,0)</f>
        <v>0.49519538757206921</v>
      </c>
      <c r="J92" s="1885"/>
      <c r="K92" s="1951"/>
      <c r="L92" s="179">
        <f>'נספח 2 לטופס 1 - פירוט ד'!D15</f>
        <v>153283</v>
      </c>
      <c r="M92" s="570">
        <f>'נספח 2 לטופס 1 - פירוט ד'!F15</f>
        <v>124613</v>
      </c>
      <c r="N92" s="570">
        <f>'נספח 2 לטופס 1 - פירוט ד'!H15</f>
        <v>1609</v>
      </c>
      <c r="O92" s="570">
        <f>'נספח 2 לטופס 1 - פירוט ד'!J15</f>
        <v>1561</v>
      </c>
      <c r="P92" s="570">
        <f>'נספח 2 לטופס 1 - פירוט ד'!D30</f>
        <v>436212</v>
      </c>
      <c r="Q92" s="570">
        <f>'נספח 2 לטופס 1 - פירוט ד'!F30</f>
        <v>410344</v>
      </c>
      <c r="R92" s="570">
        <f>'נספח 2 לטופס 1 - פירוט ד'!H30</f>
        <v>0</v>
      </c>
      <c r="S92" s="570">
        <f>'נספח 2 לטופס 1 - פירוט ד'!J30</f>
        <v>0</v>
      </c>
    </row>
    <row r="93" spans="1:19">
      <c r="A93" s="195"/>
      <c r="B93" s="1658" t="s">
        <v>623</v>
      </c>
      <c r="C93" s="1985">
        <f>IF(P93&lt;&gt;0,P92/P93,0)</f>
        <v>0.88878694087196808</v>
      </c>
      <c r="D93" s="1986">
        <f>IF(Q93&lt;&gt;0,Q92/Q93,0)</f>
        <v>0.85622296551479504</v>
      </c>
      <c r="E93" s="1967"/>
      <c r="F93" s="1658" t="s">
        <v>623</v>
      </c>
      <c r="G93" s="251"/>
      <c r="H93" s="1985">
        <f>IF(R93&lt;&gt;0,R92/R93,0)</f>
        <v>0</v>
      </c>
      <c r="I93" s="1987">
        <f>IF(S93&lt;&gt;0,S92/S93,0)</f>
        <v>0</v>
      </c>
      <c r="J93" s="1885"/>
      <c r="K93" s="1951"/>
      <c r="L93" s="179">
        <f>'נספח 2 לטופס 1 - פירוט ד'!D16</f>
        <v>55765</v>
      </c>
      <c r="M93" s="570">
        <f>'נספח 2 לטופס 1 - פירוט ד'!F16</f>
        <v>43489</v>
      </c>
      <c r="N93" s="570">
        <f>'נספח 2 לטופס 1 - פירוט ד'!H16</f>
        <v>832</v>
      </c>
      <c r="O93" s="570">
        <f>'נספח 2 לטופס 1 - פירוט ד'!J16</f>
        <v>773</v>
      </c>
      <c r="P93" s="570">
        <f>'נספח 2 לטופס 1 - פירוט ד'!D25</f>
        <v>490794.79000000004</v>
      </c>
      <c r="Q93" s="570">
        <f>'נספח 2 לטופס 1 - פירוט ד'!F25</f>
        <v>479249</v>
      </c>
      <c r="R93" s="570">
        <f>'נספח 2 לטופס 1 - פירוט ד'!H25</f>
        <v>0</v>
      </c>
      <c r="S93" s="570">
        <f>'נספח 2 לטופס 1 - פירוט ד'!J25</f>
        <v>0</v>
      </c>
    </row>
    <row r="94" spans="1:19">
      <c r="A94" s="195"/>
      <c r="B94" s="1658" t="s">
        <v>624</v>
      </c>
      <c r="C94" s="1985">
        <f>IF(C84=0,0,+C85/C84)</f>
        <v>0.76384717442282857</v>
      </c>
      <c r="D94" s="1986">
        <f>IF(D84=0,0,+D85/D84)</f>
        <v>0.75155085102225339</v>
      </c>
      <c r="E94" s="1988"/>
      <c r="F94" s="1658" t="s">
        <v>624</v>
      </c>
      <c r="G94" s="251"/>
      <c r="H94" s="1985">
        <f>IF($H$84=0,0,+$H$85/$H$84)</f>
        <v>0.51709136109384712</v>
      </c>
      <c r="I94" s="1987">
        <f>IF($I$84=0,0,+$I$85/$I$84)</f>
        <v>0.49519538757206921</v>
      </c>
      <c r="J94" s="1885"/>
      <c r="K94" s="1951"/>
      <c r="L94" s="179"/>
    </row>
    <row r="95" spans="1:19">
      <c r="A95" s="195"/>
      <c r="B95" s="1895"/>
      <c r="C95" s="1896"/>
      <c r="D95" s="1897"/>
      <c r="E95" s="1885"/>
      <c r="F95" s="1895"/>
      <c r="G95" s="1896"/>
      <c r="H95" s="1896"/>
      <c r="I95" s="1897"/>
      <c r="J95" s="1885"/>
      <c r="K95" s="1951"/>
      <c r="L95" s="179"/>
    </row>
    <row r="96" spans="1:19" ht="19.5" customHeight="1">
      <c r="A96" s="1873">
        <v>6</v>
      </c>
      <c r="B96" s="1939" t="s">
        <v>1104</v>
      </c>
      <c r="C96" s="1885"/>
      <c r="D96" s="1885"/>
      <c r="E96" s="1885"/>
      <c r="F96" s="1885"/>
      <c r="G96" s="1885"/>
      <c r="H96" s="1885"/>
      <c r="I96" s="1885"/>
      <c r="J96" s="1885"/>
      <c r="K96" s="1951"/>
      <c r="L96" s="179"/>
    </row>
    <row r="97" spans="1:14" ht="18.75" customHeight="1">
      <c r="A97" s="195"/>
      <c r="B97" s="1989"/>
      <c r="C97" s="1990" t="s">
        <v>1105</v>
      </c>
      <c r="D97" s="1991"/>
      <c r="E97" s="1992"/>
      <c r="F97" s="3666" t="s">
        <v>1106</v>
      </c>
      <c r="G97" s="3667"/>
      <c r="H97" s="195"/>
      <c r="I97" s="195"/>
      <c r="J97" s="1885"/>
      <c r="K97" s="1951"/>
      <c r="L97" s="179"/>
    </row>
    <row r="98" spans="1:14">
      <c r="A98" s="195"/>
      <c r="B98" s="1944"/>
      <c r="C98" s="1993" t="s">
        <v>1107</v>
      </c>
      <c r="D98" s="3669" t="s">
        <v>1108</v>
      </c>
      <c r="E98" s="3670"/>
      <c r="F98" s="3671" t="s">
        <v>142</v>
      </c>
      <c r="G98" s="3672"/>
      <c r="H98" s="1994"/>
      <c r="I98" s="195"/>
      <c r="J98" s="1885"/>
      <c r="K98" s="1951"/>
      <c r="L98" s="179"/>
    </row>
    <row r="99" spans="1:14">
      <c r="A99" s="195"/>
      <c r="B99" s="1995"/>
      <c r="C99" s="2767">
        <f>'הגדרות כלליות'!D10</f>
        <v>2015</v>
      </c>
      <c r="D99" s="1996">
        <f>'הגדרות כלליות'!D10</f>
        <v>2015</v>
      </c>
      <c r="E99" s="1997">
        <f>'הגדרות כלליות'!D12</f>
        <v>2014</v>
      </c>
      <c r="F99" s="1998">
        <f>'הגדרות כלליות'!D10</f>
        <v>2015</v>
      </c>
      <c r="G99" s="1999">
        <f>'הגדרות כלליות'!D12</f>
        <v>2014</v>
      </c>
      <c r="H99" s="1994"/>
      <c r="I99" s="195"/>
      <c r="J99" s="1885"/>
      <c r="K99" s="1951"/>
      <c r="L99" s="179" t="s">
        <v>414</v>
      </c>
    </row>
    <row r="100" spans="1:14">
      <c r="A100" s="195"/>
      <c r="B100" s="1658" t="s">
        <v>965</v>
      </c>
      <c r="C100" s="2000">
        <f>'נספח 4 לטופס 2 חלק א'!$G$12</f>
        <v>943.96</v>
      </c>
      <c r="D100" s="1918">
        <f>'נספח 4 לטופס 2 חלק א'!$I$12</f>
        <v>147397</v>
      </c>
      <c r="E100" s="1918">
        <f>'נספח 4 לטופס 2 חלק א'!$O$12</f>
        <v>142277</v>
      </c>
      <c r="F100" s="2001">
        <f t="shared" ref="F100:F105" si="1">IF(C100=0,0,+D100/C100)</f>
        <v>156.14750625026483</v>
      </c>
      <c r="G100" s="2002">
        <f>IF(N100&lt;&gt;0,E100/N100,0)</f>
        <v>160.58352144469526</v>
      </c>
      <c r="H100" s="195"/>
      <c r="I100" s="195"/>
      <c r="J100" s="1885"/>
      <c r="K100" s="1951"/>
      <c r="L100" s="179" t="s">
        <v>965</v>
      </c>
      <c r="N100" s="2959">
        <f>'נספח 4 לטופס 2 חלק א'!M12</f>
        <v>886</v>
      </c>
    </row>
    <row r="101" spans="1:14">
      <c r="A101" s="195"/>
      <c r="B101" s="1658" t="s">
        <v>1041</v>
      </c>
      <c r="C101" s="2003">
        <f>'נספח 4 לטופס 2 חלק א'!$G$15</f>
        <v>103.96</v>
      </c>
      <c r="D101" s="1920">
        <f>'נספח 4 לטופס 2 חלק א'!$I$15</f>
        <v>18216</v>
      </c>
      <c r="E101" s="1920">
        <f>'נספח 4 לטופס 2 חלק א'!$O$15</f>
        <v>16990</v>
      </c>
      <c r="F101" s="2004">
        <f t="shared" si="1"/>
        <v>175.22123893805312</v>
      </c>
      <c r="G101" s="2005">
        <f t="shared" ref="G101:G107" si="2">IF(N101&lt;&gt;0,E101/N101,0)</f>
        <v>176.97916666666666</v>
      </c>
      <c r="H101" s="195"/>
      <c r="I101" s="195"/>
      <c r="J101" s="1885"/>
      <c r="K101" s="1951"/>
      <c r="L101" s="179" t="s">
        <v>1041</v>
      </c>
      <c r="N101" s="2959">
        <f>'נספח 4 לטופס 2 חלק א'!M15</f>
        <v>96</v>
      </c>
    </row>
    <row r="102" spans="1:14">
      <c r="A102" s="195"/>
      <c r="B102" s="1658" t="s">
        <v>415</v>
      </c>
      <c r="C102" s="2003">
        <f>'נספח 4 לטופס 2 חלק א'!$G$18 + 'נספח 4 לטופס 2 חלק א'!$G$31</f>
        <v>14</v>
      </c>
      <c r="D102" s="1920">
        <f>'נספח 4 לטופס 2 חלק א'!$I$18 + 'נספח 4 לטופס 2 חלק א'!$I$31</f>
        <v>7010</v>
      </c>
      <c r="E102" s="1920">
        <f>'נספח 4 לטופס 2 חלק א'!$O$18+'נספח 4 לטופס 2 חלק א'!$O$31</f>
        <v>6498</v>
      </c>
      <c r="F102" s="2004">
        <f t="shared" si="1"/>
        <v>500.71428571428572</v>
      </c>
      <c r="G102" s="2005">
        <f t="shared" si="2"/>
        <v>499.84615384615387</v>
      </c>
      <c r="H102" s="195"/>
      <c r="I102" s="195"/>
      <c r="J102" s="1885"/>
      <c r="K102" s="1951"/>
      <c r="L102" s="179" t="s">
        <v>415</v>
      </c>
      <c r="N102" s="2959">
        <f>'נספח 4 לטופס 2 חלק א'!M18+'נספח 4 לטופס 2 חלק א'!M31</f>
        <v>13</v>
      </c>
    </row>
    <row r="103" spans="1:14">
      <c r="A103" s="195"/>
      <c r="B103" s="1658" t="s">
        <v>416</v>
      </c>
      <c r="C103" s="2003">
        <f>'נספח 4 לטופס 2 חלק א'!$G$21 + 'נספח 4 לטופס 2 חלק א'!$G$26+'נספח 4 לטופס 2 חלק א'!G32+'נספח 4 לטופס 2 חלק א'!G35</f>
        <v>536.07000000000005</v>
      </c>
      <c r="D103" s="1920">
        <f>'נספח 4 לטופס 2 חלק א'!$I$21 + 'נספח 4 לטופס 2 חלק א'!$I$26+'נספח 4 לטופס 2 חלק א'!$I$32+'נספח 4 לטופס 2 חלק א'!$I$35</f>
        <v>100036</v>
      </c>
      <c r="E103" s="1920">
        <f>'נספח 4 לטופס 2 חלק א'!$O$21+'נספח 4 לטופס 2 חלק א'!$O$26+'נספח 4 לטופס 2 חלק א'!$O$32+'נספח 4 לטופס 2 חלק א'!$O$35</f>
        <v>92710</v>
      </c>
      <c r="F103" s="2004">
        <f t="shared" si="1"/>
        <v>186.60995765478387</v>
      </c>
      <c r="G103" s="2005">
        <f>IF(N103&lt;&gt;0,E103/N103,0)</f>
        <v>177.26577437858509</v>
      </c>
      <c r="H103" s="195"/>
      <c r="I103" s="195"/>
      <c r="J103" s="1885"/>
      <c r="K103" s="1951"/>
      <c r="L103" s="179" t="s">
        <v>416</v>
      </c>
      <c r="N103" s="2959">
        <f>'נספח 4 לטופס 2 חלק א'!M21+'נספח 4 לטופס 2 חלק א'!M26+'נספח 4 לטופס 2 חלק א'!M32+'נספח 4 לטופס 2 חלק א'!M35</f>
        <v>523</v>
      </c>
    </row>
    <row r="104" spans="1:14">
      <c r="A104" s="195"/>
      <c r="B104" s="1658" t="s">
        <v>1109</v>
      </c>
      <c r="C104" s="2003">
        <f>'נספח 4 לטופס 2 חלק א'!$G$29</f>
        <v>3</v>
      </c>
      <c r="D104" s="1920">
        <f>'נספח 4 לטופס 2 חלק א'!$I$29</f>
        <v>2045</v>
      </c>
      <c r="E104" s="1920">
        <f>'נספח 4 לטופס 2 חלק א'!$O$29</f>
        <v>1957</v>
      </c>
      <c r="F104" s="2004">
        <f t="shared" si="1"/>
        <v>681.66666666666663</v>
      </c>
      <c r="G104" s="2005">
        <f t="shared" si="2"/>
        <v>652.33333333333337</v>
      </c>
      <c r="H104" s="195"/>
      <c r="I104" s="195"/>
      <c r="J104" s="1885"/>
      <c r="K104" s="1951"/>
      <c r="L104" s="179" t="s">
        <v>1109</v>
      </c>
      <c r="N104" s="2959">
        <f>'נספח 4 לטופס 2 חלק א'!M29</f>
        <v>3</v>
      </c>
    </row>
    <row r="105" spans="1:14">
      <c r="A105" s="195"/>
      <c r="B105" s="1658" t="s">
        <v>968</v>
      </c>
      <c r="C105" s="2006">
        <f>'נספח 4 לטופס 2 חלק א'!$G$30+'נספח 4 לטופס 2 חלק א'!G33</f>
        <v>338.32</v>
      </c>
      <c r="D105" s="2007">
        <f>'נספח 4 לטופס 2 חלק א'!$I$30+'נספח 4 לטופס 2 חלק א'!$I$33</f>
        <v>45198</v>
      </c>
      <c r="E105" s="2007">
        <f>'נספח 4 לטופס 2 חלק א'!$O$30+'נספח 4 לטופס 2 חלק א'!$O$33</f>
        <v>43339</v>
      </c>
      <c r="F105" s="2008">
        <f t="shared" si="1"/>
        <v>133.5954126270986</v>
      </c>
      <c r="G105" s="2009">
        <f t="shared" si="2"/>
        <v>134.1764705882353</v>
      </c>
      <c r="H105" s="195"/>
      <c r="I105" s="195"/>
      <c r="J105" s="1885"/>
      <c r="K105" s="1951"/>
      <c r="L105" s="179" t="s">
        <v>968</v>
      </c>
      <c r="N105" s="2959">
        <f>'נספח 4 לטופס 2 חלק א'!M30+'נספח 4 לטופס 2 חלק א'!M33</f>
        <v>323</v>
      </c>
    </row>
    <row r="106" spans="1:14" ht="3" customHeight="1">
      <c r="A106" s="195"/>
      <c r="B106" s="1658"/>
      <c r="C106" s="1956"/>
      <c r="D106" s="1956"/>
      <c r="E106" s="1956"/>
      <c r="F106" s="1956"/>
      <c r="G106" s="1957"/>
      <c r="H106" s="195"/>
      <c r="I106" s="195"/>
      <c r="J106" s="1885"/>
      <c r="K106" s="1951"/>
      <c r="L106" s="179"/>
    </row>
    <row r="107" spans="1:14" ht="13.8" thickBot="1">
      <c r="A107" s="195"/>
      <c r="B107" s="1658"/>
      <c r="C107" s="2010">
        <f>SUM(C100:C105)</f>
        <v>1939.3100000000002</v>
      </c>
      <c r="D107" s="791">
        <f>SUM(D100:D105)</f>
        <v>319902</v>
      </c>
      <c r="E107" s="791">
        <f>SUM(E100:E105)</f>
        <v>303771</v>
      </c>
      <c r="F107" s="2011">
        <f>IF(C107=0,0,+D107/C107)</f>
        <v>164.95660827820203</v>
      </c>
      <c r="G107" s="2012">
        <f t="shared" si="2"/>
        <v>164.73481561822126</v>
      </c>
      <c r="H107" s="195"/>
      <c r="I107" s="195"/>
      <c r="J107" s="1885"/>
      <c r="K107" s="1951"/>
      <c r="L107" s="179" t="s">
        <v>782</v>
      </c>
      <c r="N107" s="2959">
        <f>SUM(N100:N106)</f>
        <v>1844</v>
      </c>
    </row>
    <row r="108" spans="1:14" ht="10.5" customHeight="1" thickTop="1">
      <c r="A108" s="195"/>
      <c r="B108" s="1658"/>
      <c r="C108" s="1923"/>
      <c r="D108" s="1923"/>
      <c r="E108" s="1923"/>
      <c r="F108" s="1923"/>
      <c r="G108" s="1924"/>
      <c r="H108" s="1885"/>
      <c r="I108" s="1885"/>
      <c r="J108" s="1885"/>
      <c r="K108" s="1951"/>
      <c r="L108" s="179"/>
    </row>
    <row r="109" spans="1:14" ht="12.75" customHeight="1">
      <c r="A109" s="195"/>
      <c r="B109" s="3102" t="str">
        <f>IF(OR('נספח 4 לטופס 2 חלק א'!I32&lt;&gt;0,'נספח 4 לטופס 2 חלק א'!O32&lt;&gt;0),"הוצאות שכר בפועל בסעיף מוניציפלי ואחרות כוללות הוצאות בגין סיום יחסי עובד מעביד ממחלקות שונות ברשות","")</f>
        <v>הוצאות שכר בפועל בסעיף מוניציפלי ואחרות כוללות הוצאות בגין סיום יחסי עובד מעביד ממחלקות שונות ברשות</v>
      </c>
      <c r="C109" s="1893"/>
      <c r="D109" s="1893"/>
      <c r="E109" s="1893"/>
      <c r="F109" s="1893"/>
      <c r="G109" s="1894"/>
      <c r="H109" s="1885"/>
      <c r="I109" s="1885"/>
      <c r="J109" s="1885"/>
      <c r="K109" s="1951"/>
      <c r="L109" s="179"/>
    </row>
    <row r="110" spans="1:14">
      <c r="A110" s="195"/>
      <c r="B110" s="195" t="s">
        <v>1110</v>
      </c>
      <c r="C110" s="1885"/>
      <c r="D110" s="1885"/>
      <c r="E110" s="1885"/>
      <c r="F110" s="1885"/>
      <c r="G110" s="1885"/>
      <c r="H110" s="1885"/>
      <c r="I110" s="1885"/>
      <c r="J110" s="1885"/>
      <c r="K110" s="1951"/>
      <c r="L110" s="179"/>
    </row>
    <row r="111" spans="1:14">
      <c r="A111" s="195"/>
      <c r="B111" s="195"/>
      <c r="C111" s="1885"/>
      <c r="D111" s="1885"/>
      <c r="E111" s="1885"/>
      <c r="F111" s="1885"/>
      <c r="G111" s="1885"/>
      <c r="H111" s="1885"/>
      <c r="I111" s="1885"/>
      <c r="J111" s="1885"/>
      <c r="K111" s="1951"/>
      <c r="L111" s="179"/>
    </row>
    <row r="112" spans="1:14">
      <c r="A112" s="1873" t="s">
        <v>506</v>
      </c>
      <c r="B112" s="3448" t="str">
        <f>CONCATENATE("*שכר ממוצע למשרה בשנת ",'הגדרות כלליות'!D12," מחושב עפ''י מצבת משרות ממוצעת בשנה זו")</f>
        <v>*שכר ממוצע למשרה בשנת 2014 מחושב עפ''י מצבת משרות ממוצעת בשנה זו</v>
      </c>
      <c r="C112" s="3448"/>
      <c r="D112" s="3448"/>
      <c r="E112" s="3448"/>
      <c r="F112" s="3448"/>
      <c r="G112" s="3448"/>
      <c r="H112" s="1885"/>
      <c r="I112" s="1885"/>
      <c r="J112" s="1885"/>
      <c r="K112" s="1951"/>
      <c r="L112" s="179"/>
    </row>
    <row r="113" spans="1:12">
      <c r="A113" s="195"/>
      <c r="B113" s="3448"/>
      <c r="C113" s="3448"/>
      <c r="D113" s="3448"/>
      <c r="E113" s="3448"/>
      <c r="F113" s="1885"/>
      <c r="G113" s="1885"/>
      <c r="H113" s="1885"/>
      <c r="I113" s="1885"/>
      <c r="J113" s="1885"/>
      <c r="K113" s="1951"/>
      <c r="L113" s="179"/>
    </row>
    <row r="114" spans="1:12">
      <c r="A114" s="195"/>
      <c r="B114" s="3668" t="str">
        <f>'נתונים כלליים'!$B$8</f>
        <v>הרשות הינה רשות איתנה ותקציבה אינו טעון אישור משרד הפנים</v>
      </c>
      <c r="C114" s="3668"/>
      <c r="D114" s="3668"/>
      <c r="E114" s="1885"/>
      <c r="F114" s="1885"/>
      <c r="G114" s="1885"/>
      <c r="H114" s="1885"/>
      <c r="I114" s="1885"/>
      <c r="J114" s="1885"/>
      <c r="K114" s="1951"/>
      <c r="L114" s="179"/>
    </row>
    <row r="115" spans="1:12">
      <c r="A115" s="195"/>
      <c r="B115" s="2013" t="str">
        <f>'נתונים כלליים'!$B$14</f>
        <v xml:space="preserve"> </v>
      </c>
      <c r="C115" s="3131"/>
      <c r="D115" s="3131"/>
      <c r="E115" s="3131"/>
      <c r="F115" s="1885"/>
      <c r="G115" s="1885"/>
      <c r="H115" s="1885"/>
      <c r="I115" s="1885"/>
      <c r="J115" s="1885"/>
      <c r="K115" s="1951"/>
      <c r="L115" s="179"/>
    </row>
    <row r="116" spans="1:12">
      <c r="A116" s="195"/>
      <c r="B116" s="3668">
        <f>IF('נתונים כלליים'!B17="כן",'נתונים כלליים'!B21,0)</f>
        <v>0</v>
      </c>
      <c r="C116" s="3668"/>
      <c r="D116" s="3668"/>
      <c r="E116" s="3668"/>
      <c r="F116" s="1885"/>
      <c r="G116" s="1885"/>
      <c r="H116" s="1885"/>
      <c r="I116" s="1885"/>
      <c r="J116" s="1885"/>
      <c r="K116" s="1951"/>
      <c r="L116" s="179"/>
    </row>
    <row r="117" spans="1:12" ht="13.8" thickBot="1">
      <c r="A117" s="195"/>
      <c r="B117" s="2013"/>
      <c r="C117" s="1885"/>
      <c r="D117" s="1885"/>
      <c r="E117" s="1885"/>
      <c r="F117" s="1885"/>
      <c r="G117" s="1885"/>
      <c r="H117" s="1885"/>
      <c r="I117" s="1885"/>
      <c r="J117" s="2014"/>
      <c r="K117" s="2015"/>
      <c r="L117" s="179"/>
    </row>
    <row r="118" spans="1:12" ht="13.8" thickTop="1">
      <c r="A118" s="286"/>
      <c r="B118" s="286"/>
      <c r="C118" s="2016"/>
      <c r="D118" s="2016"/>
      <c r="E118" s="2016"/>
      <c r="F118" s="2016"/>
      <c r="G118" s="2016"/>
      <c r="H118" s="2016"/>
      <c r="I118" s="2016"/>
      <c r="J118" s="2016"/>
      <c r="K118" s="2015"/>
      <c r="L118" s="179"/>
    </row>
    <row r="119" spans="1:12">
      <c r="A119" s="179"/>
      <c r="B119" s="179"/>
      <c r="C119" s="2017"/>
      <c r="D119" s="2017"/>
      <c r="E119" s="2017"/>
      <c r="F119" s="2017"/>
      <c r="G119" s="2017"/>
      <c r="H119" s="2017"/>
      <c r="I119" s="2017"/>
      <c r="J119" s="2017"/>
      <c r="K119" s="2015"/>
      <c r="L119" s="179"/>
    </row>
    <row r="120" spans="1:12">
      <c r="A120" s="179"/>
      <c r="B120" s="179"/>
      <c r="C120" s="2017"/>
      <c r="D120" s="2017"/>
      <c r="E120" s="2017"/>
      <c r="F120" s="2017"/>
      <c r="G120" s="2017"/>
      <c r="H120" s="2017"/>
      <c r="I120" s="2017"/>
      <c r="J120" s="2017"/>
      <c r="K120" s="2015"/>
      <c r="L120" s="179"/>
    </row>
    <row r="121" spans="1:12">
      <c r="A121" s="179"/>
      <c r="B121" s="179"/>
      <c r="C121" s="2017"/>
      <c r="D121" s="2017"/>
      <c r="E121" s="2017"/>
      <c r="F121" s="2017"/>
      <c r="G121" s="2017"/>
      <c r="H121" s="2017"/>
      <c r="I121" s="2017"/>
      <c r="J121" s="2017"/>
      <c r="K121" s="2015"/>
      <c r="L121" s="179"/>
    </row>
    <row r="122" spans="1:12">
      <c r="A122" s="179"/>
      <c r="B122" s="179"/>
      <c r="C122" s="2017"/>
      <c r="D122" s="2017"/>
      <c r="E122" s="2017"/>
      <c r="F122" s="2017"/>
      <c r="G122" s="2017"/>
      <c r="H122" s="2017"/>
      <c r="I122" s="2017"/>
      <c r="J122" s="2017"/>
      <c r="K122" s="2015"/>
      <c r="L122" s="179"/>
    </row>
    <row r="123" spans="1:12">
      <c r="A123" s="179"/>
      <c r="B123" s="179"/>
      <c r="C123" s="2017"/>
      <c r="D123" s="2017"/>
      <c r="E123" s="2017"/>
      <c r="F123" s="2017"/>
      <c r="G123" s="2017"/>
      <c r="H123" s="2017"/>
      <c r="I123" s="2017"/>
      <c r="J123" s="2017"/>
      <c r="K123" s="2015"/>
      <c r="L123" s="179"/>
    </row>
    <row r="124" spans="1:12">
      <c r="A124" s="179"/>
      <c r="B124" s="179"/>
      <c r="C124" s="2017"/>
      <c r="D124" s="2017"/>
      <c r="E124" s="2017"/>
      <c r="F124" s="2017"/>
      <c r="G124" s="2017"/>
      <c r="H124" s="2017"/>
      <c r="I124" s="2017"/>
      <c r="J124" s="2017"/>
      <c r="K124" s="2015"/>
      <c r="L124" s="179"/>
    </row>
    <row r="125" spans="1:12">
      <c r="A125" s="179"/>
      <c r="B125" s="179"/>
      <c r="C125" s="2017"/>
      <c r="D125" s="2017"/>
      <c r="E125" s="2017"/>
      <c r="F125" s="2017"/>
      <c r="G125" s="2017"/>
      <c r="H125" s="2017"/>
      <c r="I125" s="2017"/>
      <c r="J125" s="2017"/>
      <c r="K125" s="2015"/>
      <c r="L125" s="179"/>
    </row>
    <row r="126" spans="1:12">
      <c r="A126" s="179"/>
      <c r="B126" s="179"/>
      <c r="C126" s="2017"/>
      <c r="D126" s="2017"/>
      <c r="E126" s="2017"/>
      <c r="F126" s="2017"/>
      <c r="G126" s="2017"/>
      <c r="H126" s="2017"/>
      <c r="I126" s="2017"/>
      <c r="J126" s="2017"/>
      <c r="K126" s="2015"/>
      <c r="L126" s="179"/>
    </row>
    <row r="127" spans="1:12">
      <c r="A127" s="179"/>
      <c r="B127" s="179"/>
      <c r="C127" s="2017"/>
      <c r="D127" s="2017"/>
      <c r="E127" s="2017"/>
      <c r="F127" s="2017"/>
      <c r="G127" s="2017"/>
      <c r="H127" s="2017"/>
      <c r="I127" s="2017"/>
      <c r="J127" s="2017"/>
      <c r="K127" s="2015"/>
      <c r="L127" s="179"/>
    </row>
    <row r="128" spans="1:12">
      <c r="A128" s="179"/>
      <c r="B128" s="179"/>
      <c r="C128" s="2017"/>
      <c r="D128" s="2017"/>
      <c r="E128" s="2017"/>
      <c r="F128" s="2017"/>
      <c r="G128" s="2017"/>
      <c r="H128" s="2017"/>
      <c r="I128" s="2017"/>
      <c r="J128" s="2017"/>
      <c r="K128" s="2015"/>
      <c r="L128" s="179"/>
    </row>
    <row r="129" spans="1:12">
      <c r="A129" s="179"/>
      <c r="B129" s="179"/>
      <c r="C129" s="2017"/>
      <c r="D129" s="2017"/>
      <c r="E129" s="2017"/>
      <c r="F129" s="2017"/>
      <c r="G129" s="2017"/>
      <c r="H129" s="2017"/>
      <c r="I129" s="2017"/>
      <c r="J129" s="2017"/>
      <c r="K129" s="2015"/>
      <c r="L129" s="179"/>
    </row>
    <row r="130" spans="1:12">
      <c r="A130" s="179"/>
      <c r="B130" s="179"/>
      <c r="C130" s="2017"/>
      <c r="D130" s="2017"/>
      <c r="E130" s="2017"/>
      <c r="F130" s="2017"/>
      <c r="G130" s="2017"/>
      <c r="H130" s="2017"/>
      <c r="I130" s="2017"/>
      <c r="J130" s="2017"/>
      <c r="K130" s="2015"/>
      <c r="L130" s="179"/>
    </row>
    <row r="131" spans="1:12">
      <c r="A131" s="179"/>
      <c r="B131" s="179"/>
      <c r="C131" s="2017"/>
      <c r="D131" s="2017"/>
      <c r="E131" s="2017"/>
      <c r="F131" s="2017"/>
      <c r="G131" s="2017"/>
      <c r="H131" s="2017"/>
      <c r="I131" s="2017"/>
      <c r="J131" s="2017"/>
      <c r="K131" s="2015"/>
      <c r="L131" s="179"/>
    </row>
    <row r="132" spans="1:12">
      <c r="A132" s="179"/>
      <c r="B132" s="179"/>
      <c r="C132" s="2018"/>
      <c r="D132" s="2017"/>
      <c r="E132" s="2017"/>
      <c r="F132" s="2017"/>
      <c r="G132" s="2017"/>
      <c r="H132" s="2017"/>
      <c r="I132" s="2017"/>
      <c r="J132" s="2017"/>
      <c r="K132" s="2015"/>
      <c r="L132" s="179"/>
    </row>
    <row r="133" spans="1:12">
      <c r="A133" s="179"/>
      <c r="B133" s="179"/>
      <c r="C133" s="2017"/>
      <c r="D133" s="2017"/>
      <c r="E133" s="2017"/>
      <c r="F133" s="2017"/>
      <c r="G133" s="2017"/>
      <c r="H133" s="2017"/>
      <c r="I133" s="2017"/>
      <c r="J133" s="2017"/>
      <c r="K133" s="2015"/>
      <c r="L133" s="179"/>
    </row>
    <row r="134" spans="1:12">
      <c r="A134" s="179"/>
      <c r="B134" s="179"/>
      <c r="C134" s="2017"/>
      <c r="D134" s="2017"/>
      <c r="E134" s="2017"/>
      <c r="F134" s="2017"/>
      <c r="G134" s="2017"/>
      <c r="H134" s="2017"/>
      <c r="I134" s="2017"/>
      <c r="J134" s="2017"/>
      <c r="K134" s="2015"/>
      <c r="L134" s="179"/>
    </row>
    <row r="135" spans="1:12">
      <c r="A135" s="179"/>
      <c r="B135" s="179"/>
      <c r="C135" s="2017"/>
      <c r="D135" s="2017"/>
      <c r="E135" s="2017"/>
      <c r="F135" s="2017"/>
      <c r="G135" s="2017"/>
      <c r="H135" s="2017"/>
      <c r="I135" s="2017"/>
      <c r="J135" s="2017"/>
      <c r="K135" s="2015"/>
      <c r="L135" s="179"/>
    </row>
    <row r="136" spans="1:12">
      <c r="A136" s="179"/>
      <c r="B136" s="179"/>
      <c r="C136" s="2017"/>
      <c r="D136" s="2017"/>
      <c r="E136" s="2017"/>
      <c r="F136" s="2017"/>
      <c r="G136" s="2017"/>
      <c r="H136" s="2017"/>
      <c r="I136" s="2017"/>
      <c r="J136" s="2017"/>
      <c r="K136" s="2015"/>
      <c r="L136" s="179"/>
    </row>
    <row r="137" spans="1:12">
      <c r="A137" s="179"/>
      <c r="B137" s="179"/>
      <c r="C137" s="2017"/>
      <c r="D137" s="2017"/>
      <c r="E137" s="2017"/>
      <c r="F137" s="2017"/>
      <c r="G137" s="2017"/>
      <c r="H137" s="2017"/>
      <c r="I137" s="2017"/>
      <c r="J137" s="2017"/>
      <c r="K137" s="2015"/>
      <c r="L137" s="179"/>
    </row>
    <row r="138" spans="1:12">
      <c r="A138" s="179"/>
      <c r="B138" s="179"/>
      <c r="C138" s="2017"/>
      <c r="D138" s="2017"/>
      <c r="E138" s="2017"/>
      <c r="F138" s="2017"/>
      <c r="G138" s="2017"/>
      <c r="H138" s="2017"/>
      <c r="I138" s="2017"/>
      <c r="J138" s="2017"/>
      <c r="K138" s="2015"/>
      <c r="L138" s="179"/>
    </row>
    <row r="139" spans="1:12">
      <c r="A139" s="179"/>
      <c r="B139" s="179"/>
      <c r="C139" s="2017"/>
      <c r="D139" s="2017"/>
      <c r="E139" s="2017"/>
      <c r="F139" s="2017"/>
      <c r="G139" s="2017"/>
      <c r="H139" s="2017"/>
      <c r="I139" s="2017"/>
      <c r="J139" s="2017"/>
      <c r="K139" s="2015"/>
      <c r="L139" s="179"/>
    </row>
    <row r="140" spans="1:12">
      <c r="A140" s="179"/>
      <c r="B140" s="179"/>
      <c r="C140" s="2017"/>
      <c r="D140" s="2017"/>
      <c r="E140" s="2017"/>
      <c r="F140" s="2017"/>
      <c r="G140" s="2017"/>
      <c r="H140" s="2017"/>
      <c r="I140" s="2017"/>
      <c r="J140" s="2017"/>
      <c r="K140" s="2015"/>
      <c r="L140" s="179"/>
    </row>
    <row r="141" spans="1:12">
      <c r="A141" s="179"/>
      <c r="B141" s="179"/>
      <c r="C141" s="2017"/>
      <c r="D141" s="2017"/>
      <c r="E141" s="2017"/>
      <c r="F141" s="2017"/>
      <c r="G141" s="2017"/>
      <c r="H141" s="2017"/>
      <c r="I141" s="2017"/>
      <c r="J141" s="2017"/>
      <c r="K141" s="2015"/>
      <c r="L141" s="179"/>
    </row>
    <row r="142" spans="1:12">
      <c r="A142" s="179"/>
      <c r="B142" s="179"/>
      <c r="C142" s="2017"/>
      <c r="D142" s="2017"/>
      <c r="E142" s="2017"/>
      <c r="F142" s="2017"/>
      <c r="G142" s="2017"/>
      <c r="H142" s="2017"/>
      <c r="I142" s="2017"/>
      <c r="J142" s="2017"/>
      <c r="K142" s="2015"/>
      <c r="L142" s="179"/>
    </row>
    <row r="143" spans="1:12">
      <c r="A143" s="179"/>
      <c r="B143" s="179"/>
      <c r="C143" s="2017"/>
      <c r="D143" s="2017"/>
      <c r="E143" s="2017"/>
      <c r="F143" s="2017"/>
      <c r="G143" s="2017"/>
      <c r="H143" s="2017"/>
      <c r="I143" s="2017"/>
      <c r="J143" s="2017"/>
      <c r="K143" s="2015"/>
      <c r="L143" s="179"/>
    </row>
    <row r="144" spans="1:12">
      <c r="A144" s="179"/>
      <c r="B144" s="179"/>
      <c r="C144" s="2017"/>
      <c r="D144" s="2017"/>
      <c r="E144" s="2017"/>
      <c r="F144" s="2017"/>
      <c r="G144" s="2017"/>
      <c r="H144" s="2017"/>
      <c r="I144" s="2017"/>
      <c r="J144" s="2017"/>
      <c r="K144" s="2015"/>
      <c r="L144" s="179"/>
    </row>
    <row r="145" spans="1:12">
      <c r="A145" s="179"/>
      <c r="B145" s="179"/>
      <c r="C145" s="2017"/>
      <c r="D145" s="2017"/>
      <c r="E145" s="2017"/>
      <c r="F145" s="2017"/>
      <c r="G145" s="2017"/>
      <c r="H145" s="2017"/>
      <c r="I145" s="2017"/>
      <c r="J145" s="2017"/>
      <c r="K145" s="2015"/>
      <c r="L145" s="179"/>
    </row>
    <row r="146" spans="1:12">
      <c r="A146" s="179"/>
      <c r="B146" s="179"/>
      <c r="C146" s="2017"/>
      <c r="D146" s="2017"/>
      <c r="E146" s="2017"/>
      <c r="F146" s="2017"/>
      <c r="G146" s="2017"/>
      <c r="H146" s="2017"/>
      <c r="I146" s="2017"/>
      <c r="J146" s="2017"/>
      <c r="K146" s="2015"/>
      <c r="L146" s="179"/>
    </row>
    <row r="147" spans="1:12">
      <c r="A147" s="179"/>
      <c r="B147" s="179"/>
      <c r="C147" s="2017"/>
      <c r="D147" s="2017"/>
      <c r="E147" s="2017"/>
      <c r="F147" s="2017"/>
      <c r="G147" s="2017"/>
      <c r="H147" s="2017"/>
      <c r="I147" s="2017"/>
      <c r="J147" s="2017"/>
      <c r="K147" s="2015"/>
      <c r="L147" s="179"/>
    </row>
    <row r="148" spans="1:12">
      <c r="A148" s="179"/>
      <c r="B148" s="179"/>
      <c r="C148" s="2017"/>
      <c r="D148" s="2017"/>
      <c r="E148" s="2017"/>
      <c r="F148" s="2017"/>
      <c r="G148" s="2017"/>
      <c r="H148" s="2017"/>
      <c r="I148" s="2017"/>
      <c r="J148" s="2017"/>
      <c r="K148" s="2015"/>
      <c r="L148" s="179"/>
    </row>
    <row r="149" spans="1:12">
      <c r="A149" s="179"/>
      <c r="B149" s="179"/>
      <c r="C149" s="2017"/>
      <c r="D149" s="2017"/>
      <c r="E149" s="2017"/>
      <c r="F149" s="2017"/>
      <c r="G149" s="2017"/>
      <c r="H149" s="2017"/>
      <c r="I149" s="2017"/>
      <c r="J149" s="2017"/>
      <c r="K149" s="2015"/>
      <c r="L149" s="179"/>
    </row>
    <row r="150" spans="1:12">
      <c r="A150" s="179"/>
      <c r="B150" s="179"/>
      <c r="C150" s="2017"/>
      <c r="D150" s="2017"/>
      <c r="E150" s="2017"/>
      <c r="F150" s="2017"/>
      <c r="G150" s="2017"/>
      <c r="H150" s="2017"/>
      <c r="I150" s="2017"/>
      <c r="J150" s="2017"/>
      <c r="K150" s="2015"/>
      <c r="L150" s="179"/>
    </row>
    <row r="151" spans="1:12">
      <c r="A151" s="179"/>
      <c r="B151" s="179"/>
      <c r="C151" s="2017"/>
      <c r="D151" s="2017"/>
      <c r="E151" s="2017"/>
      <c r="F151" s="2017"/>
      <c r="G151" s="2017"/>
      <c r="H151" s="2017"/>
      <c r="I151" s="2017"/>
      <c r="J151" s="2017"/>
      <c r="K151" s="2015"/>
      <c r="L151" s="179"/>
    </row>
    <row r="152" spans="1:12">
      <c r="A152" s="179"/>
      <c r="B152" s="179"/>
      <c r="C152" s="2017"/>
      <c r="D152" s="2017"/>
      <c r="E152" s="2017"/>
      <c r="F152" s="2017"/>
      <c r="G152" s="2017"/>
      <c r="H152" s="2017"/>
      <c r="I152" s="2017"/>
      <c r="J152" s="2017"/>
      <c r="K152" s="2015"/>
      <c r="L152" s="179"/>
    </row>
    <row r="153" spans="1:12">
      <c r="A153" s="179"/>
      <c r="B153" s="179"/>
      <c r="C153" s="2017"/>
      <c r="D153" s="2017"/>
      <c r="E153" s="2017"/>
      <c r="F153" s="2017"/>
      <c r="G153" s="2017"/>
      <c r="H153" s="2017"/>
      <c r="I153" s="2017"/>
      <c r="J153" s="2017"/>
      <c r="K153" s="2015"/>
      <c r="L153" s="179"/>
    </row>
    <row r="154" spans="1:12">
      <c r="C154" s="2019"/>
      <c r="D154" s="2019"/>
      <c r="E154" s="2019"/>
      <c r="F154" s="2019"/>
      <c r="G154" s="2019"/>
      <c r="H154" s="2019"/>
      <c r="I154" s="2019"/>
      <c r="J154" s="2019"/>
      <c r="K154" s="2020"/>
    </row>
    <row r="155" spans="1:12">
      <c r="C155" s="2019"/>
      <c r="D155" s="2019"/>
      <c r="E155" s="2019"/>
      <c r="F155" s="2019"/>
      <c r="G155" s="2019"/>
      <c r="H155" s="2019"/>
      <c r="I155" s="2019"/>
      <c r="J155" s="2019"/>
      <c r="K155" s="2020"/>
    </row>
    <row r="156" spans="1:12">
      <c r="C156" s="2019"/>
      <c r="D156" s="2019"/>
      <c r="E156" s="2019"/>
      <c r="F156" s="2019"/>
      <c r="G156" s="2019"/>
      <c r="H156" s="2019"/>
      <c r="I156" s="2019"/>
      <c r="J156" s="2019"/>
      <c r="K156" s="2020"/>
    </row>
    <row r="157" spans="1:12">
      <c r="C157" s="2019"/>
      <c r="D157" s="2019"/>
      <c r="E157" s="2019"/>
      <c r="F157" s="2019"/>
      <c r="G157" s="2019"/>
      <c r="H157" s="2019"/>
      <c r="I157" s="2019"/>
      <c r="J157" s="2019"/>
      <c r="K157" s="2020"/>
    </row>
    <row r="158" spans="1:12">
      <c r="C158" s="2019"/>
      <c r="D158" s="2019"/>
      <c r="E158" s="2019"/>
      <c r="F158" s="2019"/>
      <c r="G158" s="2019"/>
      <c r="H158" s="2019"/>
      <c r="I158" s="2019"/>
      <c r="J158" s="2019"/>
      <c r="K158" s="2020"/>
    </row>
    <row r="159" spans="1:12">
      <c r="C159" s="2019"/>
      <c r="D159" s="2019"/>
      <c r="E159" s="2019"/>
      <c r="F159" s="2019"/>
      <c r="G159" s="2019"/>
      <c r="H159" s="2019"/>
      <c r="I159" s="2019"/>
      <c r="J159" s="2019"/>
      <c r="K159" s="2020"/>
    </row>
    <row r="160" spans="1:12">
      <c r="C160" s="2019"/>
      <c r="D160" s="2019"/>
      <c r="E160" s="2019"/>
      <c r="F160" s="2019"/>
      <c r="G160" s="2019"/>
      <c r="H160" s="2019"/>
      <c r="I160" s="2019"/>
    </row>
    <row r="161" spans="3:9">
      <c r="C161" s="2019"/>
      <c r="D161" s="2019"/>
      <c r="E161" s="2019"/>
      <c r="F161" s="2019"/>
      <c r="G161" s="2019"/>
      <c r="H161" s="2019"/>
      <c r="I161" s="2019"/>
    </row>
    <row r="162" spans="3:9">
      <c r="C162" s="2019"/>
      <c r="D162" s="2019"/>
      <c r="E162" s="2019"/>
      <c r="F162" s="2019"/>
      <c r="G162" s="2019"/>
      <c r="H162" s="2019"/>
      <c r="I162" s="2019"/>
    </row>
    <row r="163" spans="3:9">
      <c r="C163" s="2019"/>
      <c r="D163" s="2019"/>
      <c r="E163" s="2019"/>
      <c r="F163" s="2019"/>
      <c r="G163" s="2019"/>
      <c r="H163" s="2019"/>
      <c r="I163" s="2019"/>
    </row>
    <row r="164" spans="3:9">
      <c r="C164" s="2019"/>
      <c r="D164" s="2019"/>
      <c r="E164" s="2019"/>
      <c r="F164" s="2019"/>
      <c r="G164" s="2019"/>
      <c r="H164" s="2019"/>
      <c r="I164" s="2019"/>
    </row>
    <row r="165" spans="3:9">
      <c r="C165" s="2019"/>
      <c r="D165" s="2019"/>
      <c r="E165" s="2019"/>
      <c r="F165" s="2019"/>
      <c r="G165" s="2019"/>
      <c r="H165" s="2019"/>
      <c r="I165" s="2019"/>
    </row>
    <row r="166" spans="3:9">
      <c r="C166" s="2019"/>
      <c r="D166" s="2019"/>
      <c r="E166" s="2019"/>
      <c r="F166" s="2019"/>
      <c r="G166" s="2019"/>
      <c r="H166" s="2019"/>
      <c r="I166" s="2019"/>
    </row>
    <row r="167" spans="3:9">
      <c r="C167" s="2019"/>
      <c r="D167" s="2019"/>
      <c r="E167" s="2019"/>
      <c r="F167" s="2019"/>
      <c r="G167" s="2019"/>
      <c r="H167" s="2019"/>
      <c r="I167" s="2019"/>
    </row>
    <row r="168" spans="3:9">
      <c r="C168" s="2019"/>
      <c r="D168" s="2019"/>
      <c r="E168" s="2019"/>
      <c r="F168" s="2019"/>
      <c r="G168" s="2019"/>
      <c r="H168" s="2019"/>
      <c r="I168" s="2019"/>
    </row>
    <row r="169" spans="3:9">
      <c r="C169" s="2019"/>
      <c r="D169" s="2019"/>
      <c r="E169" s="2019"/>
      <c r="F169" s="2019"/>
      <c r="G169" s="2019"/>
      <c r="H169" s="2019"/>
      <c r="I169" s="2019"/>
    </row>
    <row r="170" spans="3:9">
      <c r="C170" s="2019"/>
      <c r="D170" s="2019"/>
      <c r="E170" s="2019"/>
      <c r="F170" s="2019"/>
      <c r="G170" s="2019"/>
      <c r="H170" s="2019"/>
      <c r="I170" s="2019"/>
    </row>
    <row r="171" spans="3:9">
      <c r="C171" s="2019"/>
      <c r="D171" s="2019"/>
      <c r="E171" s="2019"/>
      <c r="F171" s="2019"/>
      <c r="G171" s="2019"/>
      <c r="H171" s="2019"/>
      <c r="I171" s="2019"/>
    </row>
    <row r="172" spans="3:9">
      <c r="C172" s="2019"/>
      <c r="D172" s="2019"/>
      <c r="E172" s="2019"/>
      <c r="F172" s="2019"/>
      <c r="G172" s="2019"/>
      <c r="H172" s="2019"/>
      <c r="I172" s="2019"/>
    </row>
    <row r="173" spans="3:9">
      <c r="C173" s="2019"/>
      <c r="D173" s="2019"/>
      <c r="E173" s="2019"/>
      <c r="F173" s="2019"/>
      <c r="G173" s="2019"/>
      <c r="H173" s="2019"/>
      <c r="I173" s="2019"/>
    </row>
    <row r="174" spans="3:9">
      <c r="C174" s="2019"/>
      <c r="D174" s="2019"/>
      <c r="E174" s="2019"/>
      <c r="F174" s="2019"/>
      <c r="G174" s="2019"/>
      <c r="H174" s="2019"/>
      <c r="I174" s="2019"/>
    </row>
    <row r="175" spans="3:9">
      <c r="C175" s="2019"/>
      <c r="D175" s="2019"/>
      <c r="E175" s="2019"/>
      <c r="F175" s="2019"/>
      <c r="G175" s="2019"/>
      <c r="H175" s="2019"/>
      <c r="I175" s="2019"/>
    </row>
    <row r="176" spans="3:9">
      <c r="C176" s="2019"/>
      <c r="D176" s="2019"/>
      <c r="E176" s="2019"/>
      <c r="F176" s="2019"/>
      <c r="G176" s="2019"/>
      <c r="H176" s="2019"/>
      <c r="I176" s="2019"/>
    </row>
    <row r="177" spans="3:9">
      <c r="C177" s="2019"/>
      <c r="D177" s="2019"/>
      <c r="E177" s="2019"/>
      <c r="F177" s="2019"/>
      <c r="G177" s="2019"/>
      <c r="H177" s="2019"/>
      <c r="I177" s="2019"/>
    </row>
    <row r="178" spans="3:9">
      <c r="C178" s="2019"/>
      <c r="D178" s="2019"/>
      <c r="E178" s="2019"/>
      <c r="F178" s="2019"/>
      <c r="G178" s="2019"/>
      <c r="H178" s="2019"/>
      <c r="I178" s="2019"/>
    </row>
    <row r="179" spans="3:9">
      <c r="C179" s="2019"/>
      <c r="D179" s="2019"/>
      <c r="E179" s="2019"/>
      <c r="F179" s="2019"/>
      <c r="G179" s="2019"/>
      <c r="H179" s="2019"/>
      <c r="I179" s="2019"/>
    </row>
    <row r="180" spans="3:9">
      <c r="C180" s="2019"/>
      <c r="D180" s="2019"/>
      <c r="E180" s="2019"/>
      <c r="F180" s="2019"/>
      <c r="G180" s="2019"/>
      <c r="H180" s="2019"/>
      <c r="I180" s="2019"/>
    </row>
    <row r="181" spans="3:9">
      <c r="C181" s="2019"/>
      <c r="D181" s="2019"/>
      <c r="E181" s="2019"/>
      <c r="F181" s="2019"/>
      <c r="G181" s="2019"/>
      <c r="H181" s="2019"/>
      <c r="I181" s="2019"/>
    </row>
    <row r="182" spans="3:9">
      <c r="C182" s="2019"/>
      <c r="D182" s="2019"/>
      <c r="E182" s="2019"/>
      <c r="F182" s="2019"/>
      <c r="G182" s="2019"/>
      <c r="H182" s="2019"/>
      <c r="I182" s="2019"/>
    </row>
    <row r="183" spans="3:9">
      <c r="C183" s="2019"/>
      <c r="D183" s="2019"/>
      <c r="E183" s="2019"/>
      <c r="F183" s="2019"/>
      <c r="G183" s="2019"/>
      <c r="H183" s="2019"/>
      <c r="I183" s="2019"/>
    </row>
    <row r="184" spans="3:9">
      <c r="C184" s="2019"/>
      <c r="D184" s="2019"/>
      <c r="E184" s="2019"/>
      <c r="F184" s="2019"/>
      <c r="G184" s="2019"/>
      <c r="H184" s="2019"/>
      <c r="I184" s="2019"/>
    </row>
    <row r="185" spans="3:9">
      <c r="C185" s="2019"/>
      <c r="D185" s="2019"/>
      <c r="E185" s="2019"/>
      <c r="F185" s="2019"/>
      <c r="G185" s="2019"/>
      <c r="H185" s="2019"/>
      <c r="I185" s="2019"/>
    </row>
    <row r="186" spans="3:9">
      <c r="C186" s="2019"/>
      <c r="D186" s="2019"/>
      <c r="E186" s="2019"/>
      <c r="F186" s="2019"/>
      <c r="G186" s="2019"/>
      <c r="H186" s="2019"/>
      <c r="I186" s="2019"/>
    </row>
    <row r="187" spans="3:9">
      <c r="C187" s="2019"/>
      <c r="D187" s="2019"/>
      <c r="E187" s="2019"/>
      <c r="F187" s="2019"/>
      <c r="G187" s="2019"/>
      <c r="H187" s="2019"/>
      <c r="I187" s="2019"/>
    </row>
    <row r="188" spans="3:9">
      <c r="C188" s="2019"/>
      <c r="D188" s="2019"/>
      <c r="E188" s="2019"/>
      <c r="F188" s="2019"/>
      <c r="G188" s="2019"/>
      <c r="H188" s="2019"/>
      <c r="I188" s="2019"/>
    </row>
    <row r="189" spans="3:9">
      <c r="C189" s="2019"/>
      <c r="D189" s="2019"/>
      <c r="E189" s="2019"/>
      <c r="F189" s="2019"/>
      <c r="G189" s="2019"/>
      <c r="H189" s="2019"/>
      <c r="I189" s="2019"/>
    </row>
    <row r="190" spans="3:9">
      <c r="C190" s="2019"/>
      <c r="D190" s="2019"/>
      <c r="E190" s="2019"/>
      <c r="F190" s="2019"/>
      <c r="G190" s="2019"/>
      <c r="H190" s="2019"/>
      <c r="I190" s="2019"/>
    </row>
    <row r="191" spans="3:9">
      <c r="C191" s="2019"/>
      <c r="D191" s="2019"/>
      <c r="E191" s="2019"/>
      <c r="F191" s="2019"/>
      <c r="G191" s="2019"/>
      <c r="H191" s="2019"/>
      <c r="I191" s="2019"/>
    </row>
    <row r="192" spans="3:9">
      <c r="C192" s="2019"/>
      <c r="D192" s="2019"/>
      <c r="E192" s="2019"/>
      <c r="F192" s="2019"/>
      <c r="G192" s="2019"/>
      <c r="H192" s="2019"/>
      <c r="I192" s="2019"/>
    </row>
    <row r="193" spans="1:9">
      <c r="C193" s="2019"/>
      <c r="D193" s="2019"/>
      <c r="E193" s="2019"/>
      <c r="F193" s="2019"/>
      <c r="G193" s="2019"/>
      <c r="H193" s="2019"/>
      <c r="I193" s="2019"/>
    </row>
    <row r="194" spans="1:9">
      <c r="C194" s="2019"/>
      <c r="D194" s="2019"/>
      <c r="E194" s="2019"/>
      <c r="F194" s="2019"/>
      <c r="G194" s="2019"/>
      <c r="H194" s="2019"/>
      <c r="I194" s="2019"/>
    </row>
    <row r="195" spans="1:9">
      <c r="C195" s="2019"/>
      <c r="D195" s="2019"/>
      <c r="E195" s="2019"/>
      <c r="F195" s="2019"/>
      <c r="G195" s="2019"/>
      <c r="H195" s="2019"/>
      <c r="I195" s="2019"/>
    </row>
    <row r="196" spans="1:9">
      <c r="C196" s="2019"/>
      <c r="D196" s="2019"/>
      <c r="E196" s="2019"/>
      <c r="F196" s="2019"/>
      <c r="G196" s="2019"/>
      <c r="H196" s="2019"/>
      <c r="I196" s="2019"/>
    </row>
    <row r="197" spans="1:9">
      <c r="C197" s="2019"/>
      <c r="D197" s="2019"/>
      <c r="E197" s="2019"/>
      <c r="F197" s="2019"/>
      <c r="G197" s="2019"/>
      <c r="H197" s="2019"/>
      <c r="I197" s="2019"/>
    </row>
    <row r="198" spans="1:9">
      <c r="C198" s="2019"/>
      <c r="D198" s="2019"/>
      <c r="E198" s="2019"/>
      <c r="F198" s="2019"/>
      <c r="G198" s="2019"/>
      <c r="H198" s="2019"/>
      <c r="I198" s="2019"/>
    </row>
    <row r="199" spans="1:9">
      <c r="C199" s="2019"/>
      <c r="D199" s="2019"/>
      <c r="E199" s="2019"/>
      <c r="F199" s="2019"/>
      <c r="G199" s="2019"/>
      <c r="H199" s="2019"/>
      <c r="I199" s="2019"/>
    </row>
    <row r="200" spans="1:9">
      <c r="C200" s="2019"/>
      <c r="D200" s="2019"/>
      <c r="E200" s="2019"/>
      <c r="F200" s="2019"/>
      <c r="G200" s="2019"/>
      <c r="H200" s="2019"/>
      <c r="I200" s="2019"/>
    </row>
    <row r="201" spans="1:9">
      <c r="C201" s="2019"/>
      <c r="D201" s="2019"/>
      <c r="E201" s="2019"/>
      <c r="F201" s="2019"/>
      <c r="G201" s="2019"/>
      <c r="H201" s="2019"/>
      <c r="I201" s="2019"/>
    </row>
    <row r="202" spans="1:9">
      <c r="C202" s="2019"/>
      <c r="D202" s="2019"/>
      <c r="E202" s="2019"/>
      <c r="F202" s="2019"/>
      <c r="G202" s="2019"/>
      <c r="H202" s="2019"/>
      <c r="I202" s="2019"/>
    </row>
    <row r="203" spans="1:9">
      <c r="C203" s="2019"/>
      <c r="D203" s="2019"/>
      <c r="E203" s="2019"/>
      <c r="F203" s="2019"/>
      <c r="G203" s="2019"/>
      <c r="H203" s="2019"/>
      <c r="I203" s="2019"/>
    </row>
    <row r="204" spans="1:9" ht="15.6">
      <c r="A204" s="3390" t="str">
        <f>D1</f>
        <v>עירית הרצליה</v>
      </c>
      <c r="B204" s="3390"/>
      <c r="C204" s="3390"/>
      <c r="D204" s="3390"/>
      <c r="E204" s="3390"/>
      <c r="F204" s="3390"/>
      <c r="G204" s="3390"/>
      <c r="H204" s="3390"/>
      <c r="I204" s="3390"/>
    </row>
    <row r="205" spans="1:9" ht="15.6">
      <c r="A205" s="3390" t="str">
        <f>D2</f>
        <v>תמצית נתוני הדוחות הכספיים לשנת 2015</v>
      </c>
      <c r="B205" s="3390"/>
      <c r="C205" s="3390"/>
      <c r="D205" s="3390"/>
      <c r="E205" s="3390"/>
      <c r="F205" s="3390"/>
      <c r="G205" s="3390"/>
      <c r="H205" s="3390"/>
      <c r="I205" s="3390"/>
    </row>
    <row r="206" spans="1:9" ht="15.6">
      <c r="A206" s="3390" t="str">
        <f>D3</f>
        <v>(באלפי ש"ח)</v>
      </c>
      <c r="B206" s="3390"/>
      <c r="C206" s="3390"/>
      <c r="D206" s="3390"/>
      <c r="E206" s="3390"/>
      <c r="F206" s="3390"/>
      <c r="G206" s="3390"/>
      <c r="H206" s="3390"/>
      <c r="I206" s="3390"/>
    </row>
    <row r="207" spans="1:9">
      <c r="C207" s="2019"/>
      <c r="D207" s="2019"/>
      <c r="E207" s="2019"/>
      <c r="F207" s="2019"/>
      <c r="G207" s="2019"/>
      <c r="H207" s="2019"/>
      <c r="I207" s="2019"/>
    </row>
    <row r="208" spans="1:9">
      <c r="C208" s="2019"/>
      <c r="D208" s="2019"/>
      <c r="E208" s="2019"/>
      <c r="F208" s="2019"/>
      <c r="G208" s="2019"/>
      <c r="H208" s="2019"/>
      <c r="I208" s="2019"/>
    </row>
    <row r="209" spans="1:9">
      <c r="C209" s="2019"/>
      <c r="D209" s="2019"/>
      <c r="E209" s="2019"/>
      <c r="F209" s="2019"/>
      <c r="G209" s="2019"/>
      <c r="H209" s="2019"/>
      <c r="I209" s="2019"/>
    </row>
    <row r="210" spans="1:9">
      <c r="C210" s="2019"/>
      <c r="D210" s="2019"/>
      <c r="E210" s="2019"/>
      <c r="F210" s="2019"/>
      <c r="G210" s="2019"/>
      <c r="H210" s="2019"/>
      <c r="I210" s="2019"/>
    </row>
    <row r="211" spans="1:9">
      <c r="A211" s="297">
        <f t="shared" ref="A211:D215" si="3">A5</f>
        <v>0</v>
      </c>
      <c r="B211" s="291" t="str">
        <f t="shared" si="3"/>
        <v>מספר התושבים</v>
      </c>
      <c r="C211" s="836">
        <f t="shared" si="3"/>
        <v>102642</v>
      </c>
      <c r="D211" s="3392" t="str">
        <f t="shared" si="3"/>
        <v>מספר משקי בית</v>
      </c>
      <c r="E211" s="3392"/>
      <c r="F211" s="836">
        <f t="shared" ref="F211:G215" si="4">F5</f>
        <v>34384</v>
      </c>
      <c r="G211" s="3392" t="str">
        <f t="shared" si="4"/>
        <v>דירוג סוציו-אקונומי</v>
      </c>
      <c r="H211" s="3392"/>
      <c r="I211" s="836">
        <f t="shared" ref="I211:I247" si="5">I5</f>
        <v>8</v>
      </c>
    </row>
    <row r="212" spans="1:9">
      <c r="A212" s="297">
        <f t="shared" si="3"/>
        <v>0</v>
      </c>
      <c r="B212" s="297">
        <f t="shared" si="3"/>
        <v>0</v>
      </c>
      <c r="C212" s="297">
        <f t="shared" si="3"/>
        <v>0</v>
      </c>
      <c r="D212" s="297">
        <f t="shared" si="3"/>
        <v>0</v>
      </c>
      <c r="E212" s="297">
        <f t="shared" ref="E212:E247" si="6">E6</f>
        <v>0</v>
      </c>
      <c r="F212" s="297">
        <f t="shared" si="4"/>
        <v>0</v>
      </c>
      <c r="G212" s="297">
        <f t="shared" si="4"/>
        <v>0</v>
      </c>
      <c r="H212" s="297">
        <f t="shared" ref="H212:H247" si="7">H6</f>
        <v>0</v>
      </c>
      <c r="I212" s="297">
        <f t="shared" si="5"/>
        <v>0</v>
      </c>
    </row>
    <row r="213" spans="1:9">
      <c r="A213" s="2021">
        <f t="shared" si="3"/>
        <v>1</v>
      </c>
      <c r="B213" s="2022" t="str">
        <f t="shared" si="3"/>
        <v>מאזן</v>
      </c>
      <c r="C213" s="297">
        <f t="shared" si="3"/>
        <v>0</v>
      </c>
      <c r="D213" s="297">
        <f t="shared" si="3"/>
        <v>0</v>
      </c>
      <c r="E213" s="297">
        <f t="shared" si="6"/>
        <v>0</v>
      </c>
      <c r="F213" s="297">
        <f t="shared" si="4"/>
        <v>0</v>
      </c>
      <c r="G213" s="297">
        <f t="shared" si="4"/>
        <v>0</v>
      </c>
      <c r="H213" s="297">
        <f t="shared" si="7"/>
        <v>0</v>
      </c>
      <c r="I213" s="297">
        <f t="shared" si="5"/>
        <v>0</v>
      </c>
    </row>
    <row r="214" spans="1:9" ht="18" customHeight="1">
      <c r="A214" s="2021">
        <f t="shared" si="3"/>
        <v>0</v>
      </c>
      <c r="B214" s="2022" t="str">
        <f t="shared" si="3"/>
        <v>נכסים</v>
      </c>
      <c r="C214" s="297">
        <f t="shared" si="3"/>
        <v>0</v>
      </c>
      <c r="D214" s="297">
        <f t="shared" si="3"/>
        <v>0</v>
      </c>
      <c r="E214" s="297">
        <f t="shared" si="6"/>
        <v>0</v>
      </c>
      <c r="F214" s="842" t="str">
        <f t="shared" si="4"/>
        <v>התחייבויות</v>
      </c>
      <c r="G214" s="297">
        <f t="shared" si="4"/>
        <v>0</v>
      </c>
      <c r="H214" s="297">
        <f t="shared" si="7"/>
        <v>0</v>
      </c>
      <c r="I214" s="297">
        <f t="shared" si="5"/>
        <v>0</v>
      </c>
    </row>
    <row r="215" spans="1:9">
      <c r="A215" s="297">
        <f t="shared" si="3"/>
        <v>0</v>
      </c>
      <c r="B215" s="2023">
        <f t="shared" si="3"/>
        <v>0</v>
      </c>
      <c r="C215" s="2826">
        <f t="shared" si="3"/>
        <v>2015</v>
      </c>
      <c r="D215" s="2827">
        <f t="shared" si="3"/>
        <v>2014</v>
      </c>
      <c r="E215" s="297">
        <f t="shared" si="6"/>
        <v>0</v>
      </c>
      <c r="F215" s="2024">
        <f t="shared" si="4"/>
        <v>0</v>
      </c>
      <c r="G215" s="302">
        <f t="shared" si="4"/>
        <v>0</v>
      </c>
      <c r="H215" s="2828">
        <f t="shared" si="7"/>
        <v>2015</v>
      </c>
      <c r="I215" s="2829">
        <f t="shared" si="5"/>
        <v>2014</v>
      </c>
    </row>
    <row r="216" spans="1:9">
      <c r="A216" s="297">
        <f t="shared" ref="A216:A247" si="8">A10</f>
        <v>0</v>
      </c>
      <c r="B216" s="2025" t="str">
        <f>IF(AND($C10=0,$D10=0),"",$B10)</f>
        <v>רכוש שוטף</v>
      </c>
      <c r="C216" s="758">
        <f t="shared" ref="C216:D247" si="9">C10</f>
        <v>254202</v>
      </c>
      <c r="D216" s="2026">
        <f t="shared" si="9"/>
        <v>241810</v>
      </c>
      <c r="E216" s="297">
        <f t="shared" si="6"/>
        <v>0</v>
      </c>
      <c r="F216" s="3682" t="str">
        <f>IF(AND($H10=0,$I10=0),"",$F10)</f>
        <v>התחייבויות שוטפות</v>
      </c>
      <c r="G216" s="3683"/>
      <c r="H216" s="326">
        <f t="shared" si="7"/>
        <v>234694</v>
      </c>
      <c r="I216" s="331">
        <f t="shared" si="5"/>
        <v>218448</v>
      </c>
    </row>
    <row r="217" spans="1:9">
      <c r="A217" s="297">
        <f t="shared" si="8"/>
        <v>0</v>
      </c>
      <c r="B217" s="2029" t="str">
        <f>IF(AND($C11=0,$D11=0),"",$B11)</f>
        <v>השקעות</v>
      </c>
      <c r="C217" s="326">
        <f t="shared" si="9"/>
        <v>447168</v>
      </c>
      <c r="D217" s="331">
        <f t="shared" si="9"/>
        <v>313118</v>
      </c>
      <c r="E217" s="297">
        <f t="shared" si="6"/>
        <v>0</v>
      </c>
      <c r="F217" s="3682" t="str">
        <f>IF(AND($F11&lt;&gt;"(***)",OR($H11&lt;&gt;0,$I11&lt;&gt;0)),$F11,"")</f>
        <v/>
      </c>
      <c r="G217" s="3683"/>
      <c r="H217" s="326">
        <f t="shared" si="7"/>
        <v>0</v>
      </c>
      <c r="I217" s="331">
        <f t="shared" si="5"/>
        <v>0</v>
      </c>
    </row>
    <row r="218" spans="1:9">
      <c r="A218" s="297">
        <f t="shared" si="8"/>
        <v>0</v>
      </c>
      <c r="B218" s="2029" t="str">
        <f>IF(AND($C13=0,$D13=0),"",$B12)</f>
        <v>השקעות לכיסוי קרנות</v>
      </c>
      <c r="C218" s="167">
        <f t="shared" si="9"/>
        <v>0</v>
      </c>
      <c r="D218" s="2030">
        <f t="shared" si="9"/>
        <v>0</v>
      </c>
      <c r="E218" s="297">
        <f t="shared" si="6"/>
        <v>0</v>
      </c>
      <c r="F218" s="2027" t="str">
        <f>IF(AND($H12=0,$I12=0),"",$F12)</f>
        <v>קרנות פיתוח ואחרות</v>
      </c>
      <c r="G218" s="2028"/>
      <c r="H218" s="2031">
        <f t="shared" si="7"/>
        <v>171112</v>
      </c>
      <c r="I218" s="2032">
        <f t="shared" si="5"/>
        <v>186536</v>
      </c>
    </row>
    <row r="219" spans="1:9">
      <c r="A219" s="297">
        <f t="shared" si="8"/>
        <v>0</v>
      </c>
      <c r="B219" s="2029" t="str">
        <f>IF(AND($C13=0,$D13=0),"",$B13)</f>
        <v>מתוקצבות ואחרות</v>
      </c>
      <c r="C219" s="326">
        <f t="shared" si="9"/>
        <v>180910</v>
      </c>
      <c r="D219" s="331">
        <f t="shared" si="9"/>
        <v>180745</v>
      </c>
      <c r="E219" s="297">
        <f t="shared" si="6"/>
        <v>0</v>
      </c>
      <c r="F219" s="3682" t="str">
        <f>IF(AND($H13=0,$I13=0),"",$F13)</f>
        <v>קרנות מתוקצבות</v>
      </c>
      <c r="G219" s="3683"/>
      <c r="H219" s="326">
        <f t="shared" si="7"/>
        <v>180910</v>
      </c>
      <c r="I219" s="331">
        <f t="shared" si="5"/>
        <v>180745</v>
      </c>
    </row>
    <row r="220" spans="1:9">
      <c r="A220" s="297">
        <f t="shared" si="8"/>
        <v>0</v>
      </c>
      <c r="B220" s="2029" t="str">
        <f>IF(AND($C15=0,$D15=0),"",$B14)</f>
        <v/>
      </c>
      <c r="C220" s="167">
        <f t="shared" si="9"/>
        <v>0</v>
      </c>
      <c r="D220" s="2030">
        <f t="shared" si="9"/>
        <v>0</v>
      </c>
      <c r="E220" s="297">
        <f t="shared" si="6"/>
        <v>0</v>
      </c>
      <c r="F220" s="3682" t="str">
        <f>IF(AND($H14=0,$I14=0),"",$F14)</f>
        <v>עודף מצטבר בתקציב הרגיל</v>
      </c>
      <c r="G220" s="3683"/>
      <c r="H220" s="326">
        <f t="shared" si="7"/>
        <v>19442</v>
      </c>
      <c r="I220" s="331">
        <f t="shared" si="5"/>
        <v>23286</v>
      </c>
    </row>
    <row r="221" spans="1:9">
      <c r="A221" s="297">
        <f t="shared" si="8"/>
        <v>0</v>
      </c>
      <c r="B221" s="2029" t="str">
        <f>IF(AND($C15=0,$D15=0),"",$B15)</f>
        <v/>
      </c>
      <c r="C221" s="326">
        <f t="shared" si="9"/>
        <v>0</v>
      </c>
      <c r="D221" s="331">
        <f t="shared" si="9"/>
        <v>0</v>
      </c>
      <c r="E221" s="297">
        <f t="shared" si="6"/>
        <v>0</v>
      </c>
      <c r="F221" s="2027">
        <f t="shared" ref="F221:G223" si="10">F15</f>
        <v>0</v>
      </c>
      <c r="G221" s="2028">
        <f t="shared" si="10"/>
        <v>0</v>
      </c>
      <c r="H221" s="2031">
        <f t="shared" si="7"/>
        <v>0</v>
      </c>
      <c r="I221" s="2032">
        <f t="shared" si="5"/>
        <v>0</v>
      </c>
    </row>
    <row r="222" spans="1:9">
      <c r="A222" s="297">
        <f t="shared" si="8"/>
        <v>0</v>
      </c>
      <c r="B222" s="2029" t="str">
        <f>IF(AND($C16=0,$D16=0),"",$B16)</f>
        <v/>
      </c>
      <c r="C222" s="326">
        <f t="shared" si="9"/>
        <v>0</v>
      </c>
      <c r="D222" s="331">
        <f t="shared" si="9"/>
        <v>0</v>
      </c>
      <c r="E222" s="297">
        <f t="shared" si="6"/>
        <v>0</v>
      </c>
      <c r="F222" s="2027">
        <f t="shared" si="10"/>
        <v>0</v>
      </c>
      <c r="G222" s="2028">
        <f t="shared" si="10"/>
        <v>0</v>
      </c>
      <c r="H222" s="2031">
        <f t="shared" si="7"/>
        <v>0</v>
      </c>
      <c r="I222" s="2032">
        <f t="shared" si="5"/>
        <v>0</v>
      </c>
    </row>
    <row r="223" spans="1:9">
      <c r="A223" s="297">
        <f t="shared" si="8"/>
        <v>0</v>
      </c>
      <c r="B223" s="2029" t="str">
        <f>IF(AND($C18=0,$D18=0),"",$B17)</f>
        <v/>
      </c>
      <c r="C223" s="97">
        <f t="shared" si="9"/>
        <v>0</v>
      </c>
      <c r="D223" s="2030">
        <f t="shared" si="9"/>
        <v>0</v>
      </c>
      <c r="E223" s="297">
        <f t="shared" si="6"/>
        <v>0</v>
      </c>
      <c r="F223" s="340">
        <f t="shared" si="10"/>
        <v>0</v>
      </c>
      <c r="G223" s="350">
        <f t="shared" si="10"/>
        <v>0</v>
      </c>
      <c r="H223" s="2031">
        <f t="shared" si="7"/>
        <v>0</v>
      </c>
      <c r="I223" s="2032">
        <f t="shared" si="5"/>
        <v>0</v>
      </c>
    </row>
    <row r="224" spans="1:9">
      <c r="A224" s="297">
        <f t="shared" si="8"/>
        <v>0</v>
      </c>
      <c r="B224" s="2029" t="str">
        <f>IF(AND($C18=0,$D18=0),"",$B18)</f>
        <v/>
      </c>
      <c r="C224" s="326">
        <f t="shared" si="9"/>
        <v>0</v>
      </c>
      <c r="D224" s="331">
        <f t="shared" si="9"/>
        <v>0</v>
      </c>
      <c r="E224" s="297">
        <f t="shared" si="6"/>
        <v>0</v>
      </c>
      <c r="F224" s="3682" t="str">
        <f>IF(AND($H18=0,$I18=0),"",$F18)</f>
        <v>עודפים זמניים נטו בתב"ר</v>
      </c>
      <c r="G224" s="3683"/>
      <c r="H224" s="326">
        <f t="shared" si="7"/>
        <v>276122</v>
      </c>
      <c r="I224" s="331">
        <f t="shared" si="5"/>
        <v>126658</v>
      </c>
    </row>
    <row r="225" spans="1:9" ht="8.25" customHeight="1">
      <c r="A225" s="297">
        <f t="shared" si="8"/>
        <v>0</v>
      </c>
      <c r="B225" s="2029">
        <f t="shared" ref="B225:B233" si="11">B19</f>
        <v>0</v>
      </c>
      <c r="C225" s="2031">
        <f t="shared" si="9"/>
        <v>0</v>
      </c>
      <c r="D225" s="2032">
        <f t="shared" si="9"/>
        <v>0</v>
      </c>
      <c r="E225" s="297">
        <f t="shared" si="6"/>
        <v>0</v>
      </c>
      <c r="F225" s="2027">
        <f t="shared" ref="F225:G247" si="12">F19</f>
        <v>0</v>
      </c>
      <c r="G225" s="2028">
        <f t="shared" si="12"/>
        <v>0</v>
      </c>
      <c r="H225" s="2031">
        <f t="shared" si="7"/>
        <v>0</v>
      </c>
      <c r="I225" s="2032">
        <f t="shared" si="5"/>
        <v>0</v>
      </c>
    </row>
    <row r="226" spans="1:9" ht="13.8" thickBot="1">
      <c r="A226" s="297">
        <f t="shared" si="8"/>
        <v>0</v>
      </c>
      <c r="B226" s="2029">
        <f t="shared" si="11"/>
        <v>0</v>
      </c>
      <c r="C226" s="759">
        <f t="shared" si="9"/>
        <v>882280</v>
      </c>
      <c r="D226" s="2033">
        <f t="shared" si="9"/>
        <v>735673</v>
      </c>
      <c r="E226" s="297">
        <f t="shared" si="6"/>
        <v>0</v>
      </c>
      <c r="F226" s="2034">
        <f t="shared" si="12"/>
        <v>0</v>
      </c>
      <c r="G226" s="2035">
        <f t="shared" si="12"/>
        <v>0</v>
      </c>
      <c r="H226" s="759">
        <f t="shared" si="7"/>
        <v>882280</v>
      </c>
      <c r="I226" s="2033">
        <f t="shared" si="5"/>
        <v>735673</v>
      </c>
    </row>
    <row r="227" spans="1:9" ht="13.8" thickTop="1">
      <c r="A227" s="297">
        <f t="shared" si="8"/>
        <v>0</v>
      </c>
      <c r="B227" s="2036">
        <f t="shared" si="11"/>
        <v>0</v>
      </c>
      <c r="C227" s="2037">
        <f t="shared" si="9"/>
        <v>0</v>
      </c>
      <c r="D227" s="2038">
        <f t="shared" si="9"/>
        <v>0</v>
      </c>
      <c r="E227" s="297">
        <f t="shared" si="6"/>
        <v>0</v>
      </c>
      <c r="F227" s="2039">
        <f t="shared" si="12"/>
        <v>0</v>
      </c>
      <c r="G227" s="2040">
        <f t="shared" si="12"/>
        <v>0</v>
      </c>
      <c r="H227" s="2040">
        <f t="shared" si="7"/>
        <v>0</v>
      </c>
      <c r="I227" s="2041">
        <f t="shared" si="5"/>
        <v>0</v>
      </c>
    </row>
    <row r="228" spans="1:9">
      <c r="A228" s="297">
        <f t="shared" si="8"/>
        <v>0</v>
      </c>
      <c r="B228" s="297">
        <f t="shared" si="11"/>
        <v>0</v>
      </c>
      <c r="C228" s="297">
        <f t="shared" si="9"/>
        <v>0</v>
      </c>
      <c r="D228" s="297">
        <f t="shared" si="9"/>
        <v>0</v>
      </c>
      <c r="E228" s="297">
        <f t="shared" si="6"/>
        <v>0</v>
      </c>
      <c r="F228" s="297">
        <f t="shared" si="12"/>
        <v>0</v>
      </c>
      <c r="G228" s="297">
        <f t="shared" si="12"/>
        <v>0</v>
      </c>
      <c r="H228" s="297">
        <f t="shared" si="7"/>
        <v>0</v>
      </c>
      <c r="I228" s="297">
        <f t="shared" si="5"/>
        <v>0</v>
      </c>
    </row>
    <row r="229" spans="1:9">
      <c r="A229" s="297">
        <f t="shared" si="8"/>
        <v>0</v>
      </c>
      <c r="B229" s="297">
        <f t="shared" si="11"/>
        <v>0</v>
      </c>
      <c r="C229" s="297">
        <f t="shared" si="9"/>
        <v>0</v>
      </c>
      <c r="D229" s="297">
        <f t="shared" si="9"/>
        <v>0</v>
      </c>
      <c r="E229" s="297">
        <f t="shared" si="6"/>
        <v>0</v>
      </c>
      <c r="F229" s="297">
        <f t="shared" si="12"/>
        <v>0</v>
      </c>
      <c r="G229" s="297">
        <f t="shared" si="12"/>
        <v>0</v>
      </c>
      <c r="H229" s="297">
        <f t="shared" si="7"/>
        <v>0</v>
      </c>
      <c r="I229" s="297">
        <f t="shared" si="5"/>
        <v>0</v>
      </c>
    </row>
    <row r="230" spans="1:9">
      <c r="A230" s="2021">
        <f t="shared" si="8"/>
        <v>2</v>
      </c>
      <c r="B230" s="2022" t="str">
        <f t="shared" si="11"/>
        <v>נתוני התקציב הרגיל</v>
      </c>
      <c r="C230" s="297">
        <f t="shared" si="9"/>
        <v>0</v>
      </c>
      <c r="D230" s="297">
        <f t="shared" si="9"/>
        <v>0</v>
      </c>
      <c r="E230" s="297">
        <f t="shared" si="6"/>
        <v>0</v>
      </c>
      <c r="F230" s="297">
        <f t="shared" si="12"/>
        <v>0</v>
      </c>
      <c r="G230" s="297">
        <f t="shared" si="12"/>
        <v>0</v>
      </c>
      <c r="H230" s="297">
        <f t="shared" si="7"/>
        <v>0</v>
      </c>
      <c r="I230" s="297">
        <f t="shared" si="5"/>
        <v>0</v>
      </c>
    </row>
    <row r="231" spans="1:9" ht="18.75" customHeight="1">
      <c r="A231" s="2042" t="str">
        <f t="shared" si="8"/>
        <v>2.1</v>
      </c>
      <c r="B231" s="2022" t="str">
        <f t="shared" si="11"/>
        <v xml:space="preserve"> הכנסות</v>
      </c>
      <c r="C231" s="297">
        <f t="shared" si="9"/>
        <v>0</v>
      </c>
      <c r="D231" s="297">
        <f t="shared" si="9"/>
        <v>0</v>
      </c>
      <c r="E231" s="297">
        <f t="shared" si="6"/>
        <v>0</v>
      </c>
      <c r="F231" s="297">
        <f t="shared" si="12"/>
        <v>0</v>
      </c>
      <c r="G231" s="297">
        <f t="shared" si="12"/>
        <v>0</v>
      </c>
      <c r="H231" s="297">
        <f t="shared" si="7"/>
        <v>0</v>
      </c>
      <c r="I231" s="297">
        <f t="shared" si="5"/>
        <v>0</v>
      </c>
    </row>
    <row r="232" spans="1:9">
      <c r="A232" s="2042">
        <f t="shared" si="8"/>
        <v>0</v>
      </c>
      <c r="B232" s="2043">
        <f t="shared" si="11"/>
        <v>0</v>
      </c>
      <c r="C232" s="2830" t="str">
        <f t="shared" si="9"/>
        <v>תקציב</v>
      </c>
      <c r="D232" s="2830" t="str">
        <f t="shared" si="9"/>
        <v xml:space="preserve">ביצוע  </v>
      </c>
      <c r="E232" s="2830">
        <f t="shared" si="6"/>
        <v>0</v>
      </c>
      <c r="F232" s="2830" t="str">
        <f t="shared" si="12"/>
        <v>ביצוע</v>
      </c>
      <c r="G232" s="2831">
        <f t="shared" si="12"/>
        <v>0</v>
      </c>
      <c r="H232" s="297">
        <f t="shared" si="7"/>
        <v>0</v>
      </c>
      <c r="I232" s="297">
        <f t="shared" si="5"/>
        <v>0</v>
      </c>
    </row>
    <row r="233" spans="1:9">
      <c r="A233" s="297">
        <f t="shared" si="8"/>
        <v>0</v>
      </c>
      <c r="B233" s="2036">
        <f t="shared" si="11"/>
        <v>0</v>
      </c>
      <c r="C233" s="2832">
        <f t="shared" si="9"/>
        <v>2015</v>
      </c>
      <c r="D233" s="2832">
        <f t="shared" si="9"/>
        <v>2015</v>
      </c>
      <c r="E233" s="2833" t="str">
        <f t="shared" si="6"/>
        <v xml:space="preserve"> % </v>
      </c>
      <c r="F233" s="2832">
        <f t="shared" si="12"/>
        <v>2014</v>
      </c>
      <c r="G233" s="2834" t="str">
        <f t="shared" si="12"/>
        <v xml:space="preserve"> % </v>
      </c>
      <c r="H233" s="297">
        <f t="shared" si="7"/>
        <v>0</v>
      </c>
      <c r="I233" s="297">
        <f t="shared" si="5"/>
        <v>0</v>
      </c>
    </row>
    <row r="234" spans="1:9">
      <c r="A234" s="297">
        <f t="shared" si="8"/>
        <v>0</v>
      </c>
      <c r="B234" s="2027" t="str">
        <f t="shared" ref="B234:B239" si="13">IF(AND($C28=0,$D28=0,$E28=0,$F28=0,$G28=0),"",$B28)</f>
        <v>הכנסות עצמיות</v>
      </c>
      <c r="C234" s="326">
        <f t="shared" si="9"/>
        <v>642311</v>
      </c>
      <c r="D234" s="326">
        <f t="shared" si="9"/>
        <v>662635</v>
      </c>
      <c r="E234" s="2045">
        <f t="shared" si="6"/>
        <v>0.78</v>
      </c>
      <c r="F234" s="326">
        <f t="shared" si="12"/>
        <v>613719</v>
      </c>
      <c r="G234" s="2046">
        <f t="shared" si="12"/>
        <v>0.77</v>
      </c>
      <c r="H234" s="297">
        <f t="shared" si="7"/>
        <v>0</v>
      </c>
      <c r="I234" s="297">
        <f t="shared" si="5"/>
        <v>0</v>
      </c>
    </row>
    <row r="235" spans="1:9">
      <c r="A235" s="297">
        <f t="shared" si="8"/>
        <v>0</v>
      </c>
      <c r="B235" s="2027" t="str">
        <f t="shared" si="13"/>
        <v>משרדי ממשלה</v>
      </c>
      <c r="C235" s="326">
        <f t="shared" si="9"/>
        <v>192428</v>
      </c>
      <c r="D235" s="326">
        <f t="shared" si="9"/>
        <v>189826</v>
      </c>
      <c r="E235" s="2045">
        <f t="shared" si="6"/>
        <v>0.21999999999999997</v>
      </c>
      <c r="F235" s="326">
        <f t="shared" si="12"/>
        <v>181649</v>
      </c>
      <c r="G235" s="2046">
        <f t="shared" si="12"/>
        <v>0.22999999999999998</v>
      </c>
      <c r="H235" s="297">
        <f t="shared" si="7"/>
        <v>0</v>
      </c>
      <c r="I235" s="297">
        <f t="shared" si="5"/>
        <v>0</v>
      </c>
    </row>
    <row r="236" spans="1:9">
      <c r="A236" s="297">
        <f t="shared" si="8"/>
        <v>0</v>
      </c>
      <c r="B236" s="2027" t="str">
        <f t="shared" si="13"/>
        <v/>
      </c>
      <c r="C236" s="326">
        <f t="shared" si="9"/>
        <v>0</v>
      </c>
      <c r="D236" s="326">
        <f t="shared" si="9"/>
        <v>0</v>
      </c>
      <c r="E236" s="2045">
        <f t="shared" si="6"/>
        <v>0</v>
      </c>
      <c r="F236" s="326">
        <f t="shared" si="12"/>
        <v>0</v>
      </c>
      <c r="G236" s="2046">
        <f t="shared" si="12"/>
        <v>0</v>
      </c>
      <c r="H236" s="297">
        <f t="shared" si="7"/>
        <v>0</v>
      </c>
      <c r="I236" s="297">
        <f t="shared" si="5"/>
        <v>0</v>
      </c>
    </row>
    <row r="237" spans="1:9">
      <c r="A237" s="297">
        <f t="shared" si="8"/>
        <v>0</v>
      </c>
      <c r="B237" s="2027" t="str">
        <f t="shared" si="13"/>
        <v/>
      </c>
      <c r="C237" s="326">
        <f t="shared" si="9"/>
        <v>0</v>
      </c>
      <c r="D237" s="326">
        <f t="shared" si="9"/>
        <v>0</v>
      </c>
      <c r="E237" s="2045">
        <f t="shared" si="6"/>
        <v>0</v>
      </c>
      <c r="F237" s="326">
        <f t="shared" si="12"/>
        <v>0</v>
      </c>
      <c r="G237" s="2046">
        <f t="shared" si="12"/>
        <v>0</v>
      </c>
      <c r="H237" s="297">
        <f t="shared" si="7"/>
        <v>0</v>
      </c>
      <c r="I237" s="297">
        <f t="shared" si="5"/>
        <v>0</v>
      </c>
    </row>
    <row r="238" spans="1:9">
      <c r="A238" s="297">
        <f t="shared" si="8"/>
        <v>0</v>
      </c>
      <c r="B238" s="2027" t="str">
        <f t="shared" si="13"/>
        <v/>
      </c>
      <c r="C238" s="326">
        <f t="shared" si="9"/>
        <v>0</v>
      </c>
      <c r="D238" s="326">
        <f t="shared" si="9"/>
        <v>0</v>
      </c>
      <c r="E238" s="2045">
        <f t="shared" si="6"/>
        <v>0</v>
      </c>
      <c r="F238" s="326">
        <f t="shared" si="12"/>
        <v>0</v>
      </c>
      <c r="G238" s="2046">
        <f t="shared" si="12"/>
        <v>0</v>
      </c>
      <c r="H238" s="297">
        <f t="shared" si="7"/>
        <v>0</v>
      </c>
      <c r="I238" s="297">
        <f t="shared" si="5"/>
        <v>0</v>
      </c>
    </row>
    <row r="239" spans="1:9">
      <c r="A239" s="297">
        <f t="shared" si="8"/>
        <v>0</v>
      </c>
      <c r="B239" s="2027" t="str">
        <f t="shared" si="13"/>
        <v/>
      </c>
      <c r="C239" s="326">
        <f t="shared" si="9"/>
        <v>0</v>
      </c>
      <c r="D239" s="326">
        <f t="shared" si="9"/>
        <v>0</v>
      </c>
      <c r="E239" s="2045">
        <f t="shared" si="6"/>
        <v>0</v>
      </c>
      <c r="F239" s="326">
        <f t="shared" si="12"/>
        <v>0</v>
      </c>
      <c r="G239" s="2046">
        <f t="shared" si="12"/>
        <v>0</v>
      </c>
      <c r="H239" s="297">
        <f t="shared" si="7"/>
        <v>0</v>
      </c>
      <c r="I239" s="297">
        <f t="shared" si="5"/>
        <v>0</v>
      </c>
    </row>
    <row r="240" spans="1:9">
      <c r="A240" s="297">
        <f t="shared" si="8"/>
        <v>0</v>
      </c>
      <c r="B240" s="2027" t="str">
        <f>IF(AND($B34&lt;&gt;"(***)",OR($C34&lt;&gt;0,$D34&lt;&gt;0,$E34&lt;&gt;0,$F34&lt;&gt;0,$G34&lt;&gt;0)),$B34,"")</f>
        <v>מענקים מיועדים</v>
      </c>
      <c r="C240" s="333">
        <f t="shared" si="9"/>
        <v>1486</v>
      </c>
      <c r="D240" s="333">
        <f t="shared" si="9"/>
        <v>1324</v>
      </c>
      <c r="E240" s="2047">
        <f t="shared" si="6"/>
        <v>0</v>
      </c>
      <c r="F240" s="333">
        <f t="shared" si="12"/>
        <v>327</v>
      </c>
      <c r="G240" s="2048">
        <f t="shared" si="12"/>
        <v>0</v>
      </c>
      <c r="H240" s="297">
        <f t="shared" si="7"/>
        <v>0</v>
      </c>
      <c r="I240" s="297">
        <f t="shared" si="5"/>
        <v>0</v>
      </c>
    </row>
    <row r="241" spans="1:9" ht="13.8" thickBot="1">
      <c r="A241" s="297">
        <f t="shared" si="8"/>
        <v>0</v>
      </c>
      <c r="B241" s="2027">
        <f t="shared" ref="B241:B246" si="14">B35</f>
        <v>0</v>
      </c>
      <c r="C241" s="759">
        <f t="shared" si="9"/>
        <v>836225</v>
      </c>
      <c r="D241" s="759">
        <f t="shared" si="9"/>
        <v>853785</v>
      </c>
      <c r="E241" s="2049">
        <f t="shared" si="6"/>
        <v>1</v>
      </c>
      <c r="F241" s="759">
        <f t="shared" si="12"/>
        <v>795695</v>
      </c>
      <c r="G241" s="2050">
        <f t="shared" si="12"/>
        <v>1</v>
      </c>
      <c r="H241" s="297">
        <f t="shared" si="7"/>
        <v>0</v>
      </c>
      <c r="I241" s="297">
        <f t="shared" si="5"/>
        <v>0</v>
      </c>
    </row>
    <row r="242" spans="1:9" ht="13.8" thickTop="1">
      <c r="A242" s="297">
        <f t="shared" si="8"/>
        <v>0</v>
      </c>
      <c r="B242" s="2036">
        <f t="shared" si="14"/>
        <v>0</v>
      </c>
      <c r="C242" s="2051">
        <f t="shared" si="9"/>
        <v>0</v>
      </c>
      <c r="D242" s="2051">
        <f t="shared" si="9"/>
        <v>0</v>
      </c>
      <c r="E242" s="2051">
        <f t="shared" si="6"/>
        <v>0</v>
      </c>
      <c r="F242" s="2051">
        <f t="shared" si="12"/>
        <v>0</v>
      </c>
      <c r="G242" s="2052">
        <f t="shared" si="12"/>
        <v>0</v>
      </c>
      <c r="H242" s="297">
        <f t="shared" si="7"/>
        <v>0</v>
      </c>
      <c r="I242" s="297">
        <f t="shared" si="5"/>
        <v>0</v>
      </c>
    </row>
    <row r="243" spans="1:9">
      <c r="A243" s="297">
        <f t="shared" si="8"/>
        <v>0</v>
      </c>
      <c r="B243" s="297">
        <f t="shared" si="14"/>
        <v>0</v>
      </c>
      <c r="C243" s="297">
        <f t="shared" si="9"/>
        <v>0</v>
      </c>
      <c r="D243" s="297">
        <f t="shared" si="9"/>
        <v>0</v>
      </c>
      <c r="E243" s="297">
        <f t="shared" si="6"/>
        <v>0</v>
      </c>
      <c r="F243" s="297">
        <f t="shared" si="12"/>
        <v>0</v>
      </c>
      <c r="G243" s="297">
        <f t="shared" si="12"/>
        <v>0</v>
      </c>
      <c r="H243" s="297">
        <f t="shared" si="7"/>
        <v>0</v>
      </c>
      <c r="I243" s="297">
        <f t="shared" si="5"/>
        <v>0</v>
      </c>
    </row>
    <row r="244" spans="1:9" ht="18.75" customHeight="1">
      <c r="A244" s="297">
        <f t="shared" si="8"/>
        <v>2.2000000000000002</v>
      </c>
      <c r="B244" s="842" t="str">
        <f t="shared" si="14"/>
        <v xml:space="preserve"> הוצאות</v>
      </c>
      <c r="C244" s="297">
        <f t="shared" si="9"/>
        <v>0</v>
      </c>
      <c r="D244" s="297">
        <f t="shared" si="9"/>
        <v>0</v>
      </c>
      <c r="E244" s="297">
        <f t="shared" si="6"/>
        <v>0</v>
      </c>
      <c r="F244" s="297">
        <f t="shared" si="12"/>
        <v>0</v>
      </c>
      <c r="G244" s="297">
        <f t="shared" si="12"/>
        <v>0</v>
      </c>
      <c r="H244" s="297">
        <f t="shared" si="7"/>
        <v>0</v>
      </c>
      <c r="I244" s="297">
        <f t="shared" si="5"/>
        <v>0</v>
      </c>
    </row>
    <row r="245" spans="1:9">
      <c r="A245" s="2021">
        <f t="shared" si="8"/>
        <v>0</v>
      </c>
      <c r="B245" s="2043">
        <f t="shared" si="14"/>
        <v>0</v>
      </c>
      <c r="C245" s="2830" t="str">
        <f t="shared" si="9"/>
        <v>תקציב</v>
      </c>
      <c r="D245" s="2830" t="str">
        <f t="shared" si="9"/>
        <v>ביצוע</v>
      </c>
      <c r="E245" s="2830">
        <f t="shared" si="6"/>
        <v>0</v>
      </c>
      <c r="F245" s="2830" t="str">
        <f t="shared" si="12"/>
        <v>ביצוע</v>
      </c>
      <c r="G245" s="2835">
        <f t="shared" si="12"/>
        <v>0</v>
      </c>
      <c r="H245" s="297">
        <f t="shared" si="7"/>
        <v>0</v>
      </c>
      <c r="I245" s="297">
        <f t="shared" si="5"/>
        <v>0</v>
      </c>
    </row>
    <row r="246" spans="1:9">
      <c r="A246" s="297">
        <f t="shared" si="8"/>
        <v>0</v>
      </c>
      <c r="B246" s="2036">
        <f t="shared" si="14"/>
        <v>0</v>
      </c>
      <c r="C246" s="2832">
        <f t="shared" si="9"/>
        <v>2015</v>
      </c>
      <c r="D246" s="2832">
        <f t="shared" si="9"/>
        <v>2015</v>
      </c>
      <c r="E246" s="2836" t="str">
        <f t="shared" si="6"/>
        <v xml:space="preserve"> % </v>
      </c>
      <c r="F246" s="2832">
        <f t="shared" si="12"/>
        <v>2014</v>
      </c>
      <c r="G246" s="2837" t="str">
        <f t="shared" si="12"/>
        <v>%</v>
      </c>
      <c r="H246" s="297">
        <f t="shared" si="7"/>
        <v>0</v>
      </c>
      <c r="I246" s="297">
        <f t="shared" si="5"/>
        <v>0</v>
      </c>
    </row>
    <row r="247" spans="1:9">
      <c r="A247" s="2053">
        <f t="shared" si="8"/>
        <v>0</v>
      </c>
      <c r="B247" s="2027" t="str">
        <f>IF(AND($C41=0,$D41=0,$E41=0,$F41=0,$G41=0),"",$B41)</f>
        <v>משכורות ושכר</v>
      </c>
      <c r="C247" s="326">
        <f t="shared" si="9"/>
        <v>332705</v>
      </c>
      <c r="D247" s="326">
        <f t="shared" si="9"/>
        <v>319784</v>
      </c>
      <c r="E247" s="2045">
        <f t="shared" si="6"/>
        <v>0.38</v>
      </c>
      <c r="F247" s="326">
        <f t="shared" si="12"/>
        <v>301819</v>
      </c>
      <c r="G247" s="2046">
        <f t="shared" si="12"/>
        <v>0.38</v>
      </c>
      <c r="H247" s="297">
        <f t="shared" si="7"/>
        <v>0</v>
      </c>
      <c r="I247" s="297">
        <f t="shared" si="5"/>
        <v>0</v>
      </c>
    </row>
    <row r="248" spans="1:9">
      <c r="A248" s="2053">
        <f>A44</f>
        <v>0</v>
      </c>
      <c r="B248" s="2027" t="str">
        <f>IF(AND($C44=0,$D44=0,$E44=0,$F44=0,$G44=0),"",$B44)</f>
        <v>הוצאות תפעול</v>
      </c>
      <c r="C248" s="326">
        <f t="shared" ref="C248:I248" si="15">C44</f>
        <v>211784</v>
      </c>
      <c r="D248" s="326">
        <f t="shared" si="15"/>
        <v>201312</v>
      </c>
      <c r="E248" s="2045">
        <f t="shared" si="15"/>
        <v>0.2400000000000001</v>
      </c>
      <c r="F248" s="326">
        <f t="shared" si="15"/>
        <v>192082</v>
      </c>
      <c r="G248" s="2046">
        <f t="shared" si="15"/>
        <v>0.26</v>
      </c>
      <c r="H248" s="297">
        <f t="shared" si="15"/>
        <v>0</v>
      </c>
      <c r="I248" s="297">
        <f t="shared" si="15"/>
        <v>0</v>
      </c>
    </row>
    <row r="249" spans="1:9">
      <c r="A249" s="2053">
        <f>A43</f>
        <v>0</v>
      </c>
      <c r="B249" s="2027" t="str">
        <f>IF(AND($C43=0,$D43=0,$E43=0,$F43=0,$G43=0),"",$B43)</f>
        <v>מימון</v>
      </c>
      <c r="C249" s="326">
        <f t="shared" ref="C249:I249" si="16">C43</f>
        <v>2910</v>
      </c>
      <c r="D249" s="326">
        <f t="shared" si="16"/>
        <v>2630</v>
      </c>
      <c r="E249" s="2045">
        <f t="shared" si="16"/>
        <v>0</v>
      </c>
      <c r="F249" s="326">
        <f t="shared" si="16"/>
        <v>2503</v>
      </c>
      <c r="G249" s="2046">
        <f t="shared" si="16"/>
        <v>0</v>
      </c>
      <c r="H249" s="297">
        <f t="shared" si="16"/>
        <v>0</v>
      </c>
      <c r="I249" s="297">
        <f t="shared" si="16"/>
        <v>0</v>
      </c>
    </row>
    <row r="250" spans="1:9">
      <c r="A250" s="2053">
        <f>A47</f>
        <v>0</v>
      </c>
      <c r="B250" s="2027" t="str">
        <f>IF(AND($C47=0,$D47=0,$E47=0,$F47=0,$G47=0),"",$B47)</f>
        <v>פרעון מלוות</v>
      </c>
      <c r="C250" s="326">
        <f t="shared" ref="C250:I250" si="17">C47</f>
        <v>36600</v>
      </c>
      <c r="D250" s="326">
        <f t="shared" si="17"/>
        <v>34633</v>
      </c>
      <c r="E250" s="2045">
        <f t="shared" si="17"/>
        <v>0.04</v>
      </c>
      <c r="F250" s="326">
        <f t="shared" si="17"/>
        <v>40282</v>
      </c>
      <c r="G250" s="2046">
        <f t="shared" si="17"/>
        <v>0.05</v>
      </c>
      <c r="H250" s="297">
        <f t="shared" si="17"/>
        <v>0</v>
      </c>
      <c r="I250" s="297">
        <f t="shared" si="17"/>
        <v>0</v>
      </c>
    </row>
    <row r="251" spans="1:9">
      <c r="A251" s="2053">
        <f>A42</f>
        <v>0</v>
      </c>
      <c r="B251" s="2027" t="str">
        <f>IF(AND($C42=0,$D42=0,$E42=0,$F42=0,$G42=0),"",$B42)</f>
        <v>אחזקה ומנהל למעט מימון</v>
      </c>
      <c r="C251" s="326">
        <f t="shared" ref="C251:I251" si="18">C42</f>
        <v>54023</v>
      </c>
      <c r="D251" s="326">
        <f t="shared" si="18"/>
        <v>46474</v>
      </c>
      <c r="E251" s="2045">
        <f t="shared" si="18"/>
        <v>0.06</v>
      </c>
      <c r="F251" s="326">
        <f t="shared" si="18"/>
        <v>47681</v>
      </c>
      <c r="G251" s="2046">
        <f t="shared" si="18"/>
        <v>0.06</v>
      </c>
      <c r="H251" s="297">
        <f t="shared" si="18"/>
        <v>0</v>
      </c>
      <c r="I251" s="297">
        <f t="shared" si="18"/>
        <v>0</v>
      </c>
    </row>
    <row r="252" spans="1:9">
      <c r="A252" s="2053">
        <f>A45</f>
        <v>0</v>
      </c>
      <c r="B252" s="2027" t="str">
        <f>IF(AND($C45=0,$D45=0,$E45=0,$F45=0,$G45=0),"",$B45)</f>
        <v>השתתפויות ותרומות</v>
      </c>
      <c r="C252" s="326">
        <f t="shared" ref="C252:I253" si="19">C45</f>
        <v>174285</v>
      </c>
      <c r="D252" s="326">
        <f t="shared" si="19"/>
        <v>167296</v>
      </c>
      <c r="E252" s="2045">
        <f t="shared" si="19"/>
        <v>0.2</v>
      </c>
      <c r="F252" s="326">
        <f t="shared" si="19"/>
        <v>158513</v>
      </c>
      <c r="G252" s="2046">
        <f t="shared" si="19"/>
        <v>0.2</v>
      </c>
      <c r="H252" s="297">
        <f t="shared" si="19"/>
        <v>0</v>
      </c>
      <c r="I252" s="297">
        <f t="shared" si="19"/>
        <v>0</v>
      </c>
    </row>
    <row r="253" spans="1:9">
      <c r="A253" s="2053">
        <f>A46</f>
        <v>0</v>
      </c>
      <c r="B253" s="2027" t="str">
        <f>IF(AND($C46=0,$D46=0,$E46=0,$F46=0,$G46=0),"",$B46)</f>
        <v>חד פעמיות</v>
      </c>
      <c r="C253" s="326">
        <f t="shared" si="19"/>
        <v>23918</v>
      </c>
      <c r="D253" s="326">
        <f t="shared" si="19"/>
        <v>64139</v>
      </c>
      <c r="E253" s="2045">
        <f t="shared" si="19"/>
        <v>0.08</v>
      </c>
      <c r="F253" s="326">
        <f t="shared" si="19"/>
        <v>42173</v>
      </c>
      <c r="G253" s="2046">
        <f t="shared" si="19"/>
        <v>0.05</v>
      </c>
      <c r="H253" s="297">
        <f t="shared" si="19"/>
        <v>0</v>
      </c>
      <c r="I253" s="297">
        <f t="shared" si="19"/>
        <v>0</v>
      </c>
    </row>
    <row r="254" spans="1:9">
      <c r="A254" s="2053">
        <f t="shared" ref="A254:A266" si="20">A48</f>
        <v>0</v>
      </c>
      <c r="B254" s="2027" t="str">
        <f t="shared" ref="B254" si="21">IF(AND($C48=0,$D48=0,$E48=0,$F48=0,$G48=0),"",$B48)</f>
        <v/>
      </c>
      <c r="C254" s="326">
        <f t="shared" ref="C254:D257" si="22">C48</f>
        <v>0</v>
      </c>
      <c r="D254" s="326">
        <f t="shared" si="22"/>
        <v>0</v>
      </c>
      <c r="E254" s="2045">
        <f t="shared" ref="E254:E266" si="23">E48</f>
        <v>0</v>
      </c>
      <c r="F254" s="326">
        <f t="shared" ref="F254:G266" si="24">F48</f>
        <v>0</v>
      </c>
      <c r="G254" s="2046">
        <f t="shared" si="24"/>
        <v>0</v>
      </c>
      <c r="H254" s="297">
        <f t="shared" ref="H254:H266" si="25">H48</f>
        <v>0</v>
      </c>
      <c r="I254" s="297">
        <f t="shared" ref="I254:I266" si="26">I48</f>
        <v>0</v>
      </c>
    </row>
    <row r="255" spans="1:9">
      <c r="A255" s="2053">
        <f t="shared" si="20"/>
        <v>0</v>
      </c>
      <c r="B255" s="2027" t="str">
        <f>IF(AND($B49&lt;&gt;"(***)",OR($C49&lt;&gt;0,$D49&lt;&gt;0,$E49&lt;&gt;0,$F49&lt;&gt;0,$G49&lt;&gt;0)),$B49,"")</f>
        <v/>
      </c>
      <c r="C255" s="333">
        <f t="shared" si="22"/>
        <v>0</v>
      </c>
      <c r="D255" s="333">
        <f t="shared" si="22"/>
        <v>0</v>
      </c>
      <c r="E255" s="2047">
        <f t="shared" si="23"/>
        <v>0</v>
      </c>
      <c r="F255" s="333">
        <f t="shared" si="24"/>
        <v>0</v>
      </c>
      <c r="G255" s="2048">
        <f t="shared" si="24"/>
        <v>0</v>
      </c>
      <c r="H255" s="297">
        <f t="shared" si="25"/>
        <v>0</v>
      </c>
      <c r="I255" s="297">
        <f t="shared" si="26"/>
        <v>0</v>
      </c>
    </row>
    <row r="256" spans="1:9" ht="13.8" thickBot="1">
      <c r="A256" s="2053">
        <f t="shared" si="20"/>
        <v>0</v>
      </c>
      <c r="B256" s="340">
        <f>B50</f>
        <v>0</v>
      </c>
      <c r="C256" s="759">
        <f t="shared" si="22"/>
        <v>836225</v>
      </c>
      <c r="D256" s="759">
        <f t="shared" si="22"/>
        <v>836268</v>
      </c>
      <c r="E256" s="2049">
        <f t="shared" si="23"/>
        <v>1</v>
      </c>
      <c r="F256" s="759">
        <f t="shared" si="24"/>
        <v>785053</v>
      </c>
      <c r="G256" s="2050">
        <f t="shared" si="24"/>
        <v>1</v>
      </c>
      <c r="H256" s="297">
        <f t="shared" si="25"/>
        <v>0</v>
      </c>
      <c r="I256" s="297">
        <f t="shared" si="26"/>
        <v>0</v>
      </c>
    </row>
    <row r="257" spans="1:9" ht="3.75" customHeight="1" thickTop="1">
      <c r="A257" s="2053">
        <f t="shared" si="20"/>
        <v>0</v>
      </c>
      <c r="B257" s="340">
        <f>B51</f>
        <v>0</v>
      </c>
      <c r="C257" s="2054">
        <f t="shared" si="22"/>
        <v>0</v>
      </c>
      <c r="D257" s="2054">
        <f t="shared" si="22"/>
        <v>0</v>
      </c>
      <c r="E257" s="2055">
        <f t="shared" si="23"/>
        <v>0</v>
      </c>
      <c r="F257" s="2054">
        <f t="shared" si="24"/>
        <v>0</v>
      </c>
      <c r="G257" s="2056">
        <f t="shared" si="24"/>
        <v>0</v>
      </c>
      <c r="H257" s="297">
        <f t="shared" si="25"/>
        <v>0</v>
      </c>
      <c r="I257" s="297">
        <f t="shared" si="26"/>
        <v>0</v>
      </c>
    </row>
    <row r="258" spans="1:9" ht="15.6" thickBot="1">
      <c r="A258" s="2053">
        <f t="shared" si="20"/>
        <v>0</v>
      </c>
      <c r="B258" s="2027" t="str">
        <f>IF(AND($C52=0,$D52=0,$E52=0,$F52=0,$G52=0),"",$B52)</f>
        <v>עודף בשנת הדוח</v>
      </c>
      <c r="C258" s="2062">
        <f t="shared" ref="C258:D262" si="27">C52</f>
        <v>0</v>
      </c>
      <c r="D258" s="2062">
        <f t="shared" si="27"/>
        <v>17517</v>
      </c>
      <c r="E258" s="2057">
        <f t="shared" si="23"/>
        <v>0</v>
      </c>
      <c r="F258" s="2062">
        <f t="shared" si="24"/>
        <v>10642</v>
      </c>
      <c r="G258" s="2058">
        <f t="shared" si="24"/>
        <v>0</v>
      </c>
      <c r="H258" s="297">
        <f t="shared" si="25"/>
        <v>0</v>
      </c>
      <c r="I258" s="297">
        <f t="shared" si="26"/>
        <v>0</v>
      </c>
    </row>
    <row r="259" spans="1:9" ht="13.8" thickTop="1">
      <c r="A259" s="2053">
        <f t="shared" si="20"/>
        <v>0</v>
      </c>
      <c r="B259" s="2059">
        <f>B53</f>
        <v>0</v>
      </c>
      <c r="C259" s="2037">
        <f t="shared" si="27"/>
        <v>0</v>
      </c>
      <c r="D259" s="2037">
        <f t="shared" si="27"/>
        <v>0</v>
      </c>
      <c r="E259" s="2040">
        <f t="shared" si="23"/>
        <v>0</v>
      </c>
      <c r="F259" s="2037">
        <f t="shared" si="24"/>
        <v>0</v>
      </c>
      <c r="G259" s="316">
        <f t="shared" si="24"/>
        <v>0</v>
      </c>
      <c r="H259" s="297">
        <f t="shared" si="25"/>
        <v>0</v>
      </c>
      <c r="I259" s="297">
        <f t="shared" si="26"/>
        <v>0</v>
      </c>
    </row>
    <row r="260" spans="1:9">
      <c r="A260" s="2053">
        <f t="shared" si="20"/>
        <v>0</v>
      </c>
      <c r="B260" s="2053">
        <f>B54</f>
        <v>0</v>
      </c>
      <c r="C260" s="2053">
        <f t="shared" si="27"/>
        <v>0</v>
      </c>
      <c r="D260" s="2053">
        <f t="shared" si="27"/>
        <v>0</v>
      </c>
      <c r="E260" s="2053">
        <f t="shared" si="23"/>
        <v>0</v>
      </c>
      <c r="F260" s="2053">
        <f t="shared" si="24"/>
        <v>0</v>
      </c>
      <c r="G260" s="2053">
        <f t="shared" si="24"/>
        <v>0</v>
      </c>
      <c r="H260" s="297">
        <f t="shared" si="25"/>
        <v>0</v>
      </c>
      <c r="I260" s="297">
        <f t="shared" si="26"/>
        <v>0</v>
      </c>
    </row>
    <row r="261" spans="1:9">
      <c r="A261" s="2060">
        <f t="shared" si="20"/>
        <v>3</v>
      </c>
      <c r="B261" s="842" t="str">
        <f>B55</f>
        <v>עומס מלוות</v>
      </c>
      <c r="C261" s="2061">
        <f t="shared" si="27"/>
        <v>0</v>
      </c>
      <c r="D261" s="2061">
        <f t="shared" si="27"/>
        <v>0</v>
      </c>
      <c r="E261" s="2061">
        <f t="shared" si="23"/>
        <v>0</v>
      </c>
      <c r="F261" s="2061">
        <f t="shared" si="24"/>
        <v>0</v>
      </c>
      <c r="G261" s="2061">
        <f t="shared" si="24"/>
        <v>0</v>
      </c>
      <c r="H261" s="297">
        <f t="shared" si="25"/>
        <v>0</v>
      </c>
      <c r="I261" s="297">
        <f t="shared" si="26"/>
        <v>0</v>
      </c>
    </row>
    <row r="262" spans="1:9" ht="18" customHeight="1">
      <c r="A262" s="2053">
        <f t="shared" si="20"/>
        <v>0</v>
      </c>
      <c r="B262" s="350">
        <f>B56</f>
        <v>0</v>
      </c>
      <c r="C262" s="2035">
        <f t="shared" si="27"/>
        <v>0</v>
      </c>
      <c r="D262" s="2035">
        <f t="shared" si="27"/>
        <v>0</v>
      </c>
      <c r="E262" s="2035">
        <f t="shared" si="23"/>
        <v>0</v>
      </c>
      <c r="F262" s="2838">
        <f t="shared" si="24"/>
        <v>2015</v>
      </c>
      <c r="G262" s="2838">
        <f t="shared" si="24"/>
        <v>2014</v>
      </c>
      <c r="H262" s="297">
        <f t="shared" si="25"/>
        <v>0</v>
      </c>
      <c r="I262" s="297">
        <f t="shared" si="26"/>
        <v>0</v>
      </c>
    </row>
    <row r="263" spans="1:9" ht="13.8" thickBot="1">
      <c r="A263" s="2053">
        <f t="shared" si="20"/>
        <v>0</v>
      </c>
      <c r="B263" s="3495" t="str">
        <f>IF(AND($F57=0,$G57=0),"",$B57)</f>
        <v>עומס מלוות לפרעון בסוף השנה</v>
      </c>
      <c r="C263" s="3495"/>
      <c r="D263" s="2035">
        <f>D57</f>
        <v>0</v>
      </c>
      <c r="E263" s="2035">
        <f t="shared" si="23"/>
        <v>0</v>
      </c>
      <c r="F263" s="2062">
        <f t="shared" si="24"/>
        <v>128428</v>
      </c>
      <c r="G263" s="2062">
        <f t="shared" si="24"/>
        <v>158119</v>
      </c>
      <c r="H263" s="297">
        <f t="shared" si="25"/>
        <v>0</v>
      </c>
      <c r="I263" s="297">
        <f t="shared" si="26"/>
        <v>0</v>
      </c>
    </row>
    <row r="264" spans="1:9" ht="13.8" thickTop="1">
      <c r="A264" s="2053">
        <f t="shared" si="20"/>
        <v>0</v>
      </c>
      <c r="B264" s="350">
        <f t="shared" ref="B264:C266" si="28">B58</f>
        <v>0</v>
      </c>
      <c r="C264" s="2035">
        <f t="shared" si="28"/>
        <v>0</v>
      </c>
      <c r="D264" s="2035">
        <f>D58</f>
        <v>0</v>
      </c>
      <c r="E264" s="2035">
        <f t="shared" si="23"/>
        <v>0</v>
      </c>
      <c r="F264" s="2035">
        <f t="shared" si="24"/>
        <v>0</v>
      </c>
      <c r="G264" s="2035">
        <f t="shared" si="24"/>
        <v>0</v>
      </c>
      <c r="H264" s="297">
        <f t="shared" si="25"/>
        <v>0</v>
      </c>
      <c r="I264" s="297">
        <f t="shared" si="26"/>
        <v>0</v>
      </c>
    </row>
    <row r="265" spans="1:9">
      <c r="A265" s="2053">
        <f t="shared" si="20"/>
        <v>0</v>
      </c>
      <c r="B265" s="2053">
        <f t="shared" si="28"/>
        <v>0</v>
      </c>
      <c r="C265" s="2053">
        <f t="shared" si="28"/>
        <v>0</v>
      </c>
      <c r="D265" s="2053">
        <f>D59</f>
        <v>0</v>
      </c>
      <c r="E265" s="2053">
        <f t="shared" si="23"/>
        <v>0</v>
      </c>
      <c r="F265" s="2053">
        <f t="shared" si="24"/>
        <v>0</v>
      </c>
      <c r="G265" s="2053">
        <f t="shared" si="24"/>
        <v>0</v>
      </c>
      <c r="H265" s="2053">
        <f t="shared" si="25"/>
        <v>0</v>
      </c>
      <c r="I265" s="2053">
        <f t="shared" si="26"/>
        <v>0</v>
      </c>
    </row>
    <row r="266" spans="1:9">
      <c r="A266" s="2053">
        <f t="shared" si="20"/>
        <v>0</v>
      </c>
      <c r="B266" s="2053">
        <f t="shared" si="28"/>
        <v>0</v>
      </c>
      <c r="C266" s="2053">
        <f t="shared" si="28"/>
        <v>0</v>
      </c>
      <c r="D266" s="2053">
        <f>D60</f>
        <v>0</v>
      </c>
      <c r="E266" s="2053">
        <f t="shared" si="23"/>
        <v>0</v>
      </c>
      <c r="F266" s="2053">
        <f t="shared" si="24"/>
        <v>0</v>
      </c>
      <c r="G266" s="2053">
        <f t="shared" si="24"/>
        <v>0</v>
      </c>
      <c r="H266" s="2053">
        <f t="shared" si="25"/>
        <v>0</v>
      </c>
      <c r="I266" s="2053">
        <f t="shared" si="26"/>
        <v>0</v>
      </c>
    </row>
    <row r="267" spans="1:9">
      <c r="A267" s="2053">
        <f t="shared" ref="A267:I267" si="29">A62</f>
        <v>0</v>
      </c>
      <c r="B267" s="2053">
        <f t="shared" si="29"/>
        <v>0</v>
      </c>
      <c r="C267" s="2053">
        <f t="shared" si="29"/>
        <v>0</v>
      </c>
      <c r="D267" s="2053">
        <f t="shared" si="29"/>
        <v>0</v>
      </c>
      <c r="E267" s="2053">
        <f t="shared" si="29"/>
        <v>0</v>
      </c>
      <c r="F267" s="2053">
        <f t="shared" si="29"/>
        <v>0</v>
      </c>
      <c r="G267" s="2053">
        <f t="shared" si="29"/>
        <v>0</v>
      </c>
      <c r="H267" s="2053">
        <f t="shared" si="29"/>
        <v>0</v>
      </c>
      <c r="I267" s="2053">
        <f t="shared" si="29"/>
        <v>0</v>
      </c>
    </row>
    <row r="268" spans="1:9" ht="15.6">
      <c r="A268" s="2063">
        <f t="shared" ref="A268:C274" si="30">A63</f>
        <v>0</v>
      </c>
      <c r="B268" s="2063">
        <f t="shared" si="30"/>
        <v>0</v>
      </c>
      <c r="C268" s="3686" t="str">
        <f t="shared" si="30"/>
        <v>עירית הרצליה</v>
      </c>
      <c r="D268" s="3686"/>
      <c r="E268" s="3686"/>
      <c r="F268" s="3686"/>
      <c r="G268" s="3686"/>
      <c r="H268" s="2063">
        <f t="shared" ref="H268:I287" si="31">H63</f>
        <v>0</v>
      </c>
      <c r="I268" s="2063">
        <f t="shared" si="31"/>
        <v>0</v>
      </c>
    </row>
    <row r="269" spans="1:9" ht="15.6">
      <c r="A269" s="2064">
        <f t="shared" si="30"/>
        <v>0</v>
      </c>
      <c r="B269" s="2065">
        <f t="shared" si="30"/>
        <v>0</v>
      </c>
      <c r="C269" s="3687" t="str">
        <f t="shared" si="30"/>
        <v>תמצית נתוני הדוחות הכספיים לשנת 2015</v>
      </c>
      <c r="D269" s="3688"/>
      <c r="E269" s="3688"/>
      <c r="F269" s="3688"/>
      <c r="G269" s="3688"/>
      <c r="H269" s="2065">
        <f t="shared" si="31"/>
        <v>0</v>
      </c>
      <c r="I269" s="2065">
        <f t="shared" si="31"/>
        <v>0</v>
      </c>
    </row>
    <row r="270" spans="1:9" ht="15.6">
      <c r="A270" s="297">
        <f t="shared" si="30"/>
        <v>0</v>
      </c>
      <c r="B270" s="297">
        <f t="shared" si="30"/>
        <v>0</v>
      </c>
      <c r="C270" s="3390" t="str">
        <f t="shared" si="30"/>
        <v>(באלפי ש"ח)</v>
      </c>
      <c r="D270" s="3390"/>
      <c r="E270" s="3390"/>
      <c r="F270" s="3390"/>
      <c r="G270" s="3390"/>
      <c r="H270" s="297">
        <f t="shared" si="31"/>
        <v>0</v>
      </c>
      <c r="I270" s="297">
        <f t="shared" si="31"/>
        <v>0</v>
      </c>
    </row>
    <row r="271" spans="1:9">
      <c r="A271" s="297">
        <f t="shared" si="30"/>
        <v>0</v>
      </c>
      <c r="B271" s="297">
        <f t="shared" si="30"/>
        <v>0</v>
      </c>
      <c r="C271" s="297">
        <f t="shared" si="30"/>
        <v>0</v>
      </c>
      <c r="D271" s="297">
        <f t="shared" ref="D271:G274" si="32">D66</f>
        <v>0</v>
      </c>
      <c r="E271" s="297">
        <f t="shared" si="32"/>
        <v>0</v>
      </c>
      <c r="F271" s="297">
        <f t="shared" si="32"/>
        <v>0</v>
      </c>
      <c r="G271" s="297">
        <f t="shared" si="32"/>
        <v>0</v>
      </c>
      <c r="H271" s="297">
        <f t="shared" si="31"/>
        <v>0</v>
      </c>
      <c r="I271" s="297">
        <f t="shared" si="31"/>
        <v>0</v>
      </c>
    </row>
    <row r="272" spans="1:9">
      <c r="A272" s="2021">
        <f t="shared" si="30"/>
        <v>4</v>
      </c>
      <c r="B272" s="842" t="str">
        <f t="shared" si="30"/>
        <v>נתוני תקציב בלתי רגיל</v>
      </c>
      <c r="C272" s="297">
        <f t="shared" si="30"/>
        <v>0</v>
      </c>
      <c r="D272" s="297">
        <f t="shared" si="32"/>
        <v>0</v>
      </c>
      <c r="E272" s="297">
        <f t="shared" si="32"/>
        <v>0</v>
      </c>
      <c r="F272" s="297">
        <f t="shared" si="32"/>
        <v>0</v>
      </c>
      <c r="G272" s="297">
        <f t="shared" si="32"/>
        <v>0</v>
      </c>
      <c r="H272" s="297">
        <f t="shared" si="31"/>
        <v>0</v>
      </c>
      <c r="I272" s="297">
        <f t="shared" si="31"/>
        <v>0</v>
      </c>
    </row>
    <row r="273" spans="1:9" ht="21" customHeight="1">
      <c r="A273" s="297">
        <f t="shared" si="30"/>
        <v>0</v>
      </c>
      <c r="B273" s="652" t="str">
        <f t="shared" si="30"/>
        <v>תקבולים</v>
      </c>
      <c r="C273" s="297">
        <f t="shared" si="30"/>
        <v>0</v>
      </c>
      <c r="D273" s="297">
        <f t="shared" si="32"/>
        <v>0</v>
      </c>
      <c r="E273" s="297">
        <f t="shared" si="32"/>
        <v>0</v>
      </c>
      <c r="F273" s="652" t="str">
        <f t="shared" si="32"/>
        <v>תשלומים</v>
      </c>
      <c r="G273" s="652">
        <f t="shared" si="32"/>
        <v>0</v>
      </c>
      <c r="H273" s="297">
        <f t="shared" si="31"/>
        <v>0</v>
      </c>
      <c r="I273" s="297">
        <f t="shared" si="31"/>
        <v>0</v>
      </c>
    </row>
    <row r="274" spans="1:9">
      <c r="A274" s="297">
        <f t="shared" si="30"/>
        <v>0</v>
      </c>
      <c r="B274" s="2066">
        <f t="shared" si="30"/>
        <v>0</v>
      </c>
      <c r="C274" s="2828">
        <f t="shared" si="30"/>
        <v>2015</v>
      </c>
      <c r="D274" s="2829">
        <f t="shared" si="32"/>
        <v>2014</v>
      </c>
      <c r="E274" s="297">
        <f t="shared" si="32"/>
        <v>0</v>
      </c>
      <c r="F274" s="2024">
        <f t="shared" si="32"/>
        <v>0</v>
      </c>
      <c r="G274" s="302">
        <f t="shared" si="32"/>
        <v>0</v>
      </c>
      <c r="H274" s="2839">
        <f t="shared" si="31"/>
        <v>2015</v>
      </c>
      <c r="I274" s="2840">
        <f t="shared" si="31"/>
        <v>2014</v>
      </c>
    </row>
    <row r="275" spans="1:9">
      <c r="A275" s="297">
        <f t="shared" ref="A275:A292" si="33">A70</f>
        <v>0</v>
      </c>
      <c r="B275" s="2029" t="str">
        <f>IF(AND($C70=0,$D70=0),"",$B70)</f>
        <v>לתחילת השנה</v>
      </c>
      <c r="C275" s="326">
        <f t="shared" ref="C275:E284" si="34">C70</f>
        <v>1464735</v>
      </c>
      <c r="D275" s="331">
        <f t="shared" si="34"/>
        <v>1328092</v>
      </c>
      <c r="E275" s="297">
        <f t="shared" si="34"/>
        <v>0</v>
      </c>
      <c r="F275" s="3682" t="str">
        <f>IF(AND($H70=0,$I70=0),"",$F70)</f>
        <v>לתחילת השנה</v>
      </c>
      <c r="G275" s="3683"/>
      <c r="H275" s="326">
        <f t="shared" si="31"/>
        <v>1338077</v>
      </c>
      <c r="I275" s="331">
        <f t="shared" si="31"/>
        <v>1215577</v>
      </c>
    </row>
    <row r="276" spans="1:9">
      <c r="A276" s="297">
        <f t="shared" si="33"/>
        <v>0</v>
      </c>
      <c r="B276" s="2029" t="str">
        <f>IF(AND($C71=0,$D71=0),"",$B71)</f>
        <v>בשנת הדוח</v>
      </c>
      <c r="C276" s="326">
        <f t="shared" si="34"/>
        <v>321430</v>
      </c>
      <c r="D276" s="331">
        <f t="shared" si="34"/>
        <v>254652</v>
      </c>
      <c r="E276" s="297">
        <f t="shared" si="34"/>
        <v>0</v>
      </c>
      <c r="F276" s="3682" t="str">
        <f>IF(AND($H71=0,$I71=0),"",$F71)</f>
        <v>בשנת הדוח</v>
      </c>
      <c r="G276" s="3683"/>
      <c r="H276" s="326">
        <f t="shared" si="31"/>
        <v>171966</v>
      </c>
      <c r="I276" s="331">
        <f t="shared" si="31"/>
        <v>240509</v>
      </c>
    </row>
    <row r="277" spans="1:9">
      <c r="A277" s="297">
        <f t="shared" si="33"/>
        <v>0</v>
      </c>
      <c r="B277" s="2029" t="str">
        <f>IF(AND($C72=0,$D72=0),"",$B72)</f>
        <v>פרוייקטים שנסגרו</v>
      </c>
      <c r="C277" s="333">
        <f t="shared" si="34"/>
        <v>-103505</v>
      </c>
      <c r="D277" s="334">
        <f t="shared" si="34"/>
        <v>-118009</v>
      </c>
      <c r="E277" s="297">
        <f t="shared" si="34"/>
        <v>0</v>
      </c>
      <c r="F277" s="3682" t="str">
        <f>IF(AND($H72=0,$I72=0),"",$F72)</f>
        <v>פרוייקטים שנסגרו</v>
      </c>
      <c r="G277" s="3683"/>
      <c r="H277" s="333">
        <f t="shared" si="31"/>
        <v>-103505</v>
      </c>
      <c r="I277" s="334">
        <f t="shared" si="31"/>
        <v>-118009</v>
      </c>
    </row>
    <row r="278" spans="1:9" ht="13.8" thickBot="1">
      <c r="A278" s="297">
        <f t="shared" si="33"/>
        <v>0</v>
      </c>
      <c r="B278" s="2029" t="str">
        <f>IF(AND($C73=0,$D73=0),"",$B73)</f>
        <v>יתרה  לסוף השנה</v>
      </c>
      <c r="C278" s="759">
        <f t="shared" si="34"/>
        <v>1682660</v>
      </c>
      <c r="D278" s="2033">
        <f t="shared" si="34"/>
        <v>1464735</v>
      </c>
      <c r="E278" s="297">
        <f t="shared" si="34"/>
        <v>0</v>
      </c>
      <c r="F278" s="3682" t="str">
        <f>IF(AND($H73=0,$I73=0),"",$F73)</f>
        <v>יתרה  לסוף השנה</v>
      </c>
      <c r="G278" s="3683"/>
      <c r="H278" s="759">
        <f t="shared" si="31"/>
        <v>1406538</v>
      </c>
      <c r="I278" s="2033">
        <f t="shared" si="31"/>
        <v>1338077</v>
      </c>
    </row>
    <row r="279" spans="1:9" ht="3" customHeight="1" thickTop="1">
      <c r="A279" s="297">
        <f t="shared" si="33"/>
        <v>0</v>
      </c>
      <c r="B279" s="340">
        <f>B74</f>
        <v>0</v>
      </c>
      <c r="C279" s="326">
        <f t="shared" si="34"/>
        <v>0</v>
      </c>
      <c r="D279" s="331">
        <f t="shared" si="34"/>
        <v>0</v>
      </c>
      <c r="E279" s="297">
        <f t="shared" si="34"/>
        <v>0</v>
      </c>
      <c r="F279" s="2068">
        <f>F74</f>
        <v>0</v>
      </c>
      <c r="G279" s="97">
        <f>G74</f>
        <v>0</v>
      </c>
      <c r="H279" s="167">
        <f t="shared" si="31"/>
        <v>0</v>
      </c>
      <c r="I279" s="2030">
        <f t="shared" si="31"/>
        <v>0</v>
      </c>
    </row>
    <row r="280" spans="1:9" ht="13.8" thickBot="1">
      <c r="A280" s="297">
        <f t="shared" si="33"/>
        <v>0</v>
      </c>
      <c r="B280" s="2029" t="str">
        <f>IF(AND($C75=0,$D75=0),"",$B75)</f>
        <v>עודף זמני נטו בתב"ר</v>
      </c>
      <c r="C280" s="2062">
        <f t="shared" si="34"/>
        <v>276122</v>
      </c>
      <c r="D280" s="2069">
        <f t="shared" si="34"/>
        <v>126658</v>
      </c>
      <c r="E280" s="297">
        <f t="shared" si="34"/>
        <v>0</v>
      </c>
      <c r="F280" s="3682" t="str">
        <f>IF(AND($H75=0,$I75=0),"",$F75)</f>
        <v/>
      </c>
      <c r="G280" s="3683"/>
      <c r="H280" s="2062">
        <f t="shared" si="31"/>
        <v>0</v>
      </c>
      <c r="I280" s="2069">
        <f t="shared" si="31"/>
        <v>0</v>
      </c>
    </row>
    <row r="281" spans="1:9" ht="13.8" thickTop="1">
      <c r="A281" s="297">
        <f t="shared" si="33"/>
        <v>0</v>
      </c>
      <c r="B281" s="2059">
        <f>B76</f>
        <v>0</v>
      </c>
      <c r="C281" s="2070">
        <f t="shared" si="34"/>
        <v>0</v>
      </c>
      <c r="D281" s="2071">
        <f t="shared" si="34"/>
        <v>0</v>
      </c>
      <c r="E281" s="297">
        <f t="shared" si="34"/>
        <v>0</v>
      </c>
      <c r="F281" s="2039">
        <f>F76</f>
        <v>0</v>
      </c>
      <c r="G281" s="2040">
        <f>G76</f>
        <v>0</v>
      </c>
      <c r="H281" s="2040">
        <f t="shared" si="31"/>
        <v>0</v>
      </c>
      <c r="I281" s="2041">
        <f t="shared" si="31"/>
        <v>0</v>
      </c>
    </row>
    <row r="282" spans="1:9">
      <c r="A282" s="297">
        <f t="shared" si="33"/>
        <v>0</v>
      </c>
      <c r="B282" s="297">
        <f>B77</f>
        <v>0</v>
      </c>
      <c r="C282" s="297">
        <f t="shared" si="34"/>
        <v>0</v>
      </c>
      <c r="D282" s="297">
        <f t="shared" si="34"/>
        <v>0</v>
      </c>
      <c r="E282" s="297">
        <f t="shared" si="34"/>
        <v>0</v>
      </c>
      <c r="F282" s="297">
        <f>F77</f>
        <v>0</v>
      </c>
      <c r="G282" s="297">
        <f>G77</f>
        <v>0</v>
      </c>
      <c r="H282" s="297">
        <f t="shared" si="31"/>
        <v>0</v>
      </c>
      <c r="I282" s="297">
        <f t="shared" si="31"/>
        <v>0</v>
      </c>
    </row>
    <row r="283" spans="1:9" ht="19.5" customHeight="1">
      <c r="A283" s="2021">
        <f t="shared" si="33"/>
        <v>5</v>
      </c>
      <c r="B283" s="842" t="str">
        <f>B78</f>
        <v>דוח גביה וחייבים - ארנונה</v>
      </c>
      <c r="C283" s="2061">
        <f t="shared" si="34"/>
        <v>0</v>
      </c>
      <c r="D283" s="2061">
        <f t="shared" si="34"/>
        <v>0</v>
      </c>
      <c r="E283" s="2061">
        <f t="shared" si="34"/>
        <v>0</v>
      </c>
      <c r="F283" s="3488" t="str">
        <f>F78</f>
        <v>דוח גביה וחייבים - מים</v>
      </c>
      <c r="G283" s="3488"/>
      <c r="H283" s="2061">
        <f t="shared" si="31"/>
        <v>0</v>
      </c>
      <c r="I283" s="2061">
        <f t="shared" si="31"/>
        <v>0</v>
      </c>
    </row>
    <row r="284" spans="1:9">
      <c r="A284" s="297">
        <f t="shared" si="33"/>
        <v>0</v>
      </c>
      <c r="B284" s="2024">
        <f>B79</f>
        <v>0</v>
      </c>
      <c r="C284" s="1204">
        <f t="shared" si="34"/>
        <v>2015</v>
      </c>
      <c r="D284" s="2828">
        <f t="shared" si="34"/>
        <v>2014</v>
      </c>
      <c r="E284" s="2072">
        <f t="shared" si="34"/>
        <v>0</v>
      </c>
      <c r="F284" s="302">
        <f>F79</f>
        <v>0</v>
      </c>
      <c r="G284" s="2073">
        <f>G79</f>
        <v>0</v>
      </c>
      <c r="H284" s="2828">
        <f t="shared" si="31"/>
        <v>2015</v>
      </c>
      <c r="I284" s="2829">
        <f t="shared" si="31"/>
        <v>2014</v>
      </c>
    </row>
    <row r="285" spans="1:9" ht="13.8">
      <c r="A285" s="297">
        <f t="shared" si="33"/>
        <v>0</v>
      </c>
      <c r="B285" s="2074" t="str">
        <f t="shared" ref="B285:B290" si="35">IF(AND($C80=0,$D80=0),"",$B80)</f>
        <v>יתרת חוב לתחילת השנה</v>
      </c>
      <c r="C285" s="2044">
        <f t="shared" ref="C285:D294" si="36">C80</f>
        <v>150029</v>
      </c>
      <c r="D285" s="758">
        <f t="shared" si="36"/>
        <v>134943</v>
      </c>
      <c r="E285" s="2075"/>
      <c r="F285" s="3682" t="str">
        <f t="shared" ref="F285:F290" si="37">IF(AND($H80=0,$I80=0),"",$F80)</f>
        <v>יתרת חוב לתחילת השנה</v>
      </c>
      <c r="G285" s="3683"/>
      <c r="H285" s="758">
        <f t="shared" si="31"/>
        <v>788</v>
      </c>
      <c r="I285" s="2026">
        <f t="shared" si="31"/>
        <v>797</v>
      </c>
    </row>
    <row r="286" spans="1:9" ht="13.8">
      <c r="A286" s="297">
        <f t="shared" si="33"/>
        <v>0</v>
      </c>
      <c r="B286" s="340" t="str">
        <f t="shared" si="35"/>
        <v>חיוב השנה</v>
      </c>
      <c r="C286" s="2035">
        <f t="shared" si="36"/>
        <v>545483.79</v>
      </c>
      <c r="D286" s="326">
        <f t="shared" si="36"/>
        <v>519591</v>
      </c>
      <c r="E286" s="2075"/>
      <c r="F286" s="3682" t="str">
        <f t="shared" si="37"/>
        <v>חיוב השנה</v>
      </c>
      <c r="G286" s="3683"/>
      <c r="H286" s="326">
        <f t="shared" si="31"/>
        <v>36</v>
      </c>
      <c r="I286" s="331">
        <f t="shared" si="31"/>
        <v>1289</v>
      </c>
    </row>
    <row r="287" spans="1:9" ht="13.8">
      <c r="A287" s="297">
        <f t="shared" si="33"/>
        <v>0</v>
      </c>
      <c r="B287" s="340" t="str">
        <f t="shared" si="35"/>
        <v>הנחות ופטורים שנתנו</v>
      </c>
      <c r="C287" s="1403">
        <f t="shared" si="36"/>
        <v>-47195</v>
      </c>
      <c r="D287" s="326">
        <f t="shared" si="36"/>
        <v>-46221</v>
      </c>
      <c r="E287" s="2075"/>
      <c r="F287" s="3682" t="str">
        <f t="shared" si="37"/>
        <v/>
      </c>
      <c r="G287" s="3683"/>
      <c r="H287" s="326">
        <f t="shared" si="31"/>
        <v>0</v>
      </c>
      <c r="I287" s="331">
        <f t="shared" si="31"/>
        <v>0</v>
      </c>
    </row>
    <row r="288" spans="1:9">
      <c r="A288" s="297">
        <f t="shared" si="33"/>
        <v>0</v>
      </c>
      <c r="B288" s="3126" t="str">
        <f t="shared" si="35"/>
        <v>העברה לחובות מסופקים וחובות למחיקה</v>
      </c>
      <c r="C288" s="1403">
        <f t="shared" si="36"/>
        <v>-4240</v>
      </c>
      <c r="D288" s="326">
        <f t="shared" si="36"/>
        <v>-4451</v>
      </c>
      <c r="E288" s="2076"/>
      <c r="F288" s="3125" t="str">
        <f t="shared" si="37"/>
        <v>העברה לחובות מסופקים וחובות למחיקה</v>
      </c>
      <c r="G288" s="2035"/>
      <c r="H288" s="326">
        <f t="shared" ref="H288:I294" si="38">H83</f>
        <v>785</v>
      </c>
      <c r="I288" s="331">
        <f t="shared" si="38"/>
        <v>-525</v>
      </c>
    </row>
    <row r="289" spans="1:9" ht="13.8">
      <c r="A289" s="297">
        <f t="shared" si="33"/>
        <v>0</v>
      </c>
      <c r="B289" s="340" t="str">
        <f t="shared" si="35"/>
        <v>סך לגביה</v>
      </c>
      <c r="C289" s="2035">
        <f t="shared" si="36"/>
        <v>644077.79</v>
      </c>
      <c r="D289" s="326">
        <f t="shared" si="36"/>
        <v>603862</v>
      </c>
      <c r="E289" s="2075"/>
      <c r="F289" s="3682" t="str">
        <f t="shared" si="37"/>
        <v>סך לגביה</v>
      </c>
      <c r="G289" s="3683"/>
      <c r="H289" s="326">
        <f t="shared" si="38"/>
        <v>1609</v>
      </c>
      <c r="I289" s="331">
        <f t="shared" si="38"/>
        <v>1561</v>
      </c>
    </row>
    <row r="290" spans="1:9" ht="13.8">
      <c r="A290" s="297">
        <f t="shared" si="33"/>
        <v>0</v>
      </c>
      <c r="B290" s="340" t="str">
        <f t="shared" si="35"/>
        <v>גביה בשנת הדוח</v>
      </c>
      <c r="C290" s="2035">
        <f t="shared" si="36"/>
        <v>491977</v>
      </c>
      <c r="D290" s="326">
        <f t="shared" si="36"/>
        <v>453833</v>
      </c>
      <c r="E290" s="2075"/>
      <c r="F290" s="3682" t="str">
        <f t="shared" si="37"/>
        <v>גביה בשנת הדוח</v>
      </c>
      <c r="G290" s="3683"/>
      <c r="H290" s="326">
        <f t="shared" si="38"/>
        <v>832</v>
      </c>
      <c r="I290" s="331">
        <f t="shared" si="38"/>
        <v>773</v>
      </c>
    </row>
    <row r="291" spans="1:9" ht="3" customHeight="1">
      <c r="A291" s="297">
        <f t="shared" si="33"/>
        <v>0</v>
      </c>
      <c r="B291" s="340">
        <f>B86</f>
        <v>0</v>
      </c>
      <c r="C291" s="2035">
        <f t="shared" si="36"/>
        <v>0</v>
      </c>
      <c r="D291" s="333">
        <f t="shared" si="36"/>
        <v>0</v>
      </c>
      <c r="E291" s="2076"/>
      <c r="F291" s="2034">
        <f>F86</f>
        <v>0</v>
      </c>
      <c r="G291" s="2035">
        <f>G86</f>
        <v>0</v>
      </c>
      <c r="H291" s="326">
        <f t="shared" si="38"/>
        <v>0</v>
      </c>
      <c r="I291" s="331">
        <f t="shared" si="38"/>
        <v>0</v>
      </c>
    </row>
    <row r="292" spans="1:9" ht="13.8">
      <c r="A292" s="297">
        <f t="shared" si="33"/>
        <v>0</v>
      </c>
      <c r="B292" s="340" t="str">
        <f>IF(AND($C87=0,$D87=0),"",$B87)</f>
        <v>יתרת חוב לסוף השנה</v>
      </c>
      <c r="C292" s="2830">
        <f t="shared" si="36"/>
        <v>152100.79000000004</v>
      </c>
      <c r="D292" s="3176">
        <f t="shared" si="36"/>
        <v>150029</v>
      </c>
      <c r="E292" s="2075"/>
      <c r="F292" s="3682" t="str">
        <f>IF(AND($H87=0,$I87=0),"",$F87)</f>
        <v>יתרת חוב לסוף השנה</v>
      </c>
      <c r="G292" s="3683"/>
      <c r="H292" s="3177">
        <f t="shared" si="38"/>
        <v>777</v>
      </c>
      <c r="I292" s="3176">
        <f t="shared" si="38"/>
        <v>788</v>
      </c>
    </row>
    <row r="293" spans="1:9" ht="13.8">
      <c r="A293" s="3166"/>
      <c r="B293" s="3126" t="str">
        <f t="shared" ref="B293:B294" si="39">IF(AND($C88=0,$D88=0),"",$B88)</f>
        <v>חובות מסופקים וחובות למחיקה</v>
      </c>
      <c r="C293" s="2035">
        <f t="shared" si="36"/>
        <v>142368</v>
      </c>
      <c r="D293" s="326">
        <f t="shared" si="36"/>
        <v>149850</v>
      </c>
      <c r="E293" s="2075"/>
      <c r="F293" s="3682" t="str">
        <f t="shared" ref="F293" si="40">IF(AND($H88=0,$I88=0),"",$F88)</f>
        <v>חובות מסופקים וחובות למחיקה</v>
      </c>
      <c r="G293" s="3683"/>
      <c r="H293" s="326">
        <f t="shared" si="38"/>
        <v>22079</v>
      </c>
      <c r="I293" s="331">
        <f t="shared" si="38"/>
        <v>22398</v>
      </c>
    </row>
    <row r="294" spans="1:9" ht="14.4" thickBot="1">
      <c r="A294" s="3166"/>
      <c r="B294" s="3126" t="str">
        <f t="shared" si="39"/>
        <v>סה"כ יתרות לסוף שנה כולל חובות מסופקים וחובות למחיקה</v>
      </c>
      <c r="C294" s="2841">
        <f t="shared" si="36"/>
        <v>294468.79000000004</v>
      </c>
      <c r="D294" s="759">
        <f t="shared" si="36"/>
        <v>299879</v>
      </c>
      <c r="E294" s="2075"/>
      <c r="F294" s="3682" t="str">
        <f>IF(AND($H89=0,$I89=0),"",$F89)</f>
        <v>סה"כ יתרות לסוף שנה כולל חובות מסופקים וחובות למחיקה</v>
      </c>
      <c r="G294" s="3683"/>
      <c r="H294" s="759">
        <f t="shared" si="38"/>
        <v>22856</v>
      </c>
      <c r="I294" s="2033">
        <f t="shared" si="38"/>
        <v>23186</v>
      </c>
    </row>
    <row r="295" spans="1:9" ht="13.8" thickTop="1">
      <c r="A295" s="297">
        <f t="shared" ref="A295:A308" si="41">A90</f>
        <v>0</v>
      </c>
      <c r="B295" s="2080">
        <f>B90</f>
        <v>0</v>
      </c>
      <c r="C295" s="2035">
        <f>D90</f>
        <v>0</v>
      </c>
      <c r="D295" s="2077">
        <f>C90</f>
        <v>0</v>
      </c>
      <c r="E295" s="2078"/>
      <c r="F295" s="3664">
        <f>F90</f>
        <v>0</v>
      </c>
      <c r="G295" s="3488">
        <f>G90</f>
        <v>0</v>
      </c>
      <c r="H295" s="2077">
        <f t="shared" ref="H295:I308" si="42">H90</f>
        <v>0</v>
      </c>
      <c r="I295" s="2079">
        <f t="shared" si="42"/>
        <v>0</v>
      </c>
    </row>
    <row r="296" spans="1:9">
      <c r="A296" s="297">
        <f t="shared" si="41"/>
        <v>0</v>
      </c>
      <c r="B296" s="340" t="str">
        <f>IF(AND($C91=0,$D91=0),"",$B91)</f>
        <v/>
      </c>
      <c r="C296" s="2081">
        <f>D91</f>
        <v>0</v>
      </c>
      <c r="D296" s="2082">
        <f>C91</f>
        <v>0</v>
      </c>
      <c r="E296" s="2078"/>
      <c r="F296" s="3682" t="str">
        <f>IF(AND($H91=0,$I91=0),"",$F91)</f>
        <v/>
      </c>
      <c r="G296" s="3683"/>
      <c r="H296" s="2082">
        <f t="shared" si="42"/>
        <v>0</v>
      </c>
      <c r="I296" s="2083">
        <f t="shared" si="42"/>
        <v>0</v>
      </c>
    </row>
    <row r="297" spans="1:9">
      <c r="A297" s="297">
        <f t="shared" si="41"/>
        <v>0</v>
      </c>
      <c r="B297" s="340" t="str">
        <f>IF(AND($C92=0,$D92=0),"",$B92)</f>
        <v>לפיגורים</v>
      </c>
      <c r="C297" s="2081">
        <f t="shared" ref="C297:D299" si="43">C92</f>
        <v>0.36380420529347679</v>
      </c>
      <c r="D297" s="2082">
        <f t="shared" si="43"/>
        <v>0.34899248072031008</v>
      </c>
      <c r="E297" s="2076"/>
      <c r="F297" s="3682" t="str">
        <f>IF(AND($H92=0,$I92=0),"",$F92)</f>
        <v>לפיגורים</v>
      </c>
      <c r="G297" s="3683"/>
      <c r="H297" s="2082">
        <f t="shared" si="42"/>
        <v>0.51709136109384712</v>
      </c>
      <c r="I297" s="2083">
        <f t="shared" si="42"/>
        <v>0.49519538757206921</v>
      </c>
    </row>
    <row r="298" spans="1:9">
      <c r="A298" s="297">
        <f t="shared" si="41"/>
        <v>0</v>
      </c>
      <c r="B298" s="340" t="str">
        <f>IF(AND($C93=0,$D93=0),"",$B93)</f>
        <v>לחיוב השנתי, נטו</v>
      </c>
      <c r="C298" s="2081">
        <f t="shared" si="43"/>
        <v>0.88878694087196808</v>
      </c>
      <c r="D298" s="2082">
        <f t="shared" si="43"/>
        <v>0.85622296551479504</v>
      </c>
      <c r="E298" s="2076"/>
      <c r="F298" s="3682" t="str">
        <f>IF(AND($H93=0,$I93=0),"",$F93)</f>
        <v/>
      </c>
      <c r="G298" s="3683"/>
      <c r="H298" s="2082">
        <f t="shared" si="42"/>
        <v>0</v>
      </c>
      <c r="I298" s="2083">
        <f t="shared" si="42"/>
        <v>0</v>
      </c>
    </row>
    <row r="299" spans="1:9">
      <c r="A299" s="297">
        <f t="shared" si="41"/>
        <v>0</v>
      </c>
      <c r="B299" s="2039" t="str">
        <f>IF(AND($C94=0,$D94=0),"",$B94)</f>
        <v>לסך לגביה</v>
      </c>
      <c r="C299" s="3015">
        <f t="shared" si="43"/>
        <v>0.76384717442282857</v>
      </c>
      <c r="D299" s="3015">
        <f t="shared" si="43"/>
        <v>0.75155085102225339</v>
      </c>
      <c r="E299" s="2084"/>
      <c r="F299" s="2039" t="str">
        <f>IF(AND($H94=0,$I94=0),"",$F94)</f>
        <v>לסך לגביה</v>
      </c>
      <c r="G299" s="2040"/>
      <c r="H299" s="3015">
        <f t="shared" si="42"/>
        <v>0.51709136109384712</v>
      </c>
      <c r="I299" s="3016">
        <f t="shared" si="42"/>
        <v>0.49519538757206921</v>
      </c>
    </row>
    <row r="300" spans="1:9">
      <c r="A300" s="297">
        <f t="shared" si="41"/>
        <v>0</v>
      </c>
      <c r="B300" s="297">
        <f t="shared" ref="B300:D301" si="44">B95</f>
        <v>0</v>
      </c>
      <c r="C300" s="2061">
        <f t="shared" si="44"/>
        <v>0</v>
      </c>
      <c r="D300" s="2061">
        <f t="shared" si="44"/>
        <v>0</v>
      </c>
      <c r="E300" s="2061">
        <f t="shared" ref="E300:G301" si="45">E95</f>
        <v>0</v>
      </c>
      <c r="F300" s="2061">
        <f t="shared" si="45"/>
        <v>0</v>
      </c>
      <c r="G300" s="2061">
        <f t="shared" si="45"/>
        <v>0</v>
      </c>
      <c r="H300" s="297">
        <f t="shared" si="42"/>
        <v>0</v>
      </c>
      <c r="I300" s="2061">
        <f t="shared" si="42"/>
        <v>0</v>
      </c>
    </row>
    <row r="301" spans="1:9" ht="25.5" customHeight="1">
      <c r="A301" s="2021">
        <f t="shared" si="41"/>
        <v>6</v>
      </c>
      <c r="B301" s="842" t="str">
        <f t="shared" si="44"/>
        <v>דוח עלויות שכר</v>
      </c>
      <c r="C301" s="2061">
        <f t="shared" si="44"/>
        <v>0</v>
      </c>
      <c r="D301" s="2061">
        <f t="shared" si="44"/>
        <v>0</v>
      </c>
      <c r="E301" s="2061">
        <f t="shared" si="45"/>
        <v>0</v>
      </c>
      <c r="F301" s="2061">
        <f t="shared" si="45"/>
        <v>0</v>
      </c>
      <c r="G301" s="2061">
        <f t="shared" si="45"/>
        <v>0</v>
      </c>
      <c r="H301" s="2061">
        <f t="shared" si="42"/>
        <v>0</v>
      </c>
      <c r="I301" s="2061">
        <f t="shared" si="42"/>
        <v>0</v>
      </c>
    </row>
    <row r="302" spans="1:9" ht="17.25" customHeight="1">
      <c r="A302" s="297">
        <f t="shared" si="41"/>
        <v>0</v>
      </c>
      <c r="B302" s="2085">
        <f t="shared" ref="B302:C304" si="46">B97</f>
        <v>0</v>
      </c>
      <c r="C302" s="2842" t="str">
        <f t="shared" si="46"/>
        <v>מצבת כח</v>
      </c>
      <c r="D302" s="2843"/>
      <c r="E302" s="2835">
        <f>E97</f>
        <v>0</v>
      </c>
      <c r="F302" s="3684" t="str">
        <f>F97</f>
        <v xml:space="preserve">   שכר ממוצע שנתי</v>
      </c>
      <c r="G302" s="3685"/>
      <c r="H302" s="297">
        <f t="shared" si="42"/>
        <v>0</v>
      </c>
      <c r="I302" s="297">
        <f t="shared" si="42"/>
        <v>0</v>
      </c>
    </row>
    <row r="303" spans="1:9">
      <c r="A303" s="297">
        <f t="shared" si="41"/>
        <v>0</v>
      </c>
      <c r="B303" s="340">
        <f t="shared" si="46"/>
        <v>0</v>
      </c>
      <c r="C303" s="2844" t="str">
        <f t="shared" si="46"/>
        <v>אדם ממוצעת</v>
      </c>
      <c r="D303" s="3679" t="str">
        <f t="shared" ref="D303:D308" si="47">D98</f>
        <v>הוצאות שכר בפועל</v>
      </c>
      <c r="E303" s="3679"/>
      <c r="F303" s="3680" t="str">
        <f t="shared" ref="F303:F308" si="48">F98</f>
        <v>בפועל למשרה *</v>
      </c>
      <c r="G303" s="3681"/>
      <c r="H303" s="297">
        <f t="shared" si="42"/>
        <v>0</v>
      </c>
      <c r="I303" s="297">
        <f t="shared" si="42"/>
        <v>0</v>
      </c>
    </row>
    <row r="304" spans="1:9">
      <c r="A304" s="297">
        <f t="shared" si="41"/>
        <v>0</v>
      </c>
      <c r="B304" s="2059">
        <f t="shared" si="46"/>
        <v>0</v>
      </c>
      <c r="C304" s="2845">
        <f t="shared" si="46"/>
        <v>2015</v>
      </c>
      <c r="D304" s="2845">
        <f t="shared" si="47"/>
        <v>2015</v>
      </c>
      <c r="E304" s="2845">
        <f>E99</f>
        <v>2014</v>
      </c>
      <c r="F304" s="2846">
        <f t="shared" si="48"/>
        <v>2015</v>
      </c>
      <c r="G304" s="2846">
        <f>G99</f>
        <v>2014</v>
      </c>
      <c r="H304" s="297">
        <f t="shared" si="42"/>
        <v>0</v>
      </c>
      <c r="I304" s="297">
        <f t="shared" si="42"/>
        <v>0</v>
      </c>
    </row>
    <row r="305" spans="1:9">
      <c r="A305" s="297">
        <f t="shared" si="41"/>
        <v>0</v>
      </c>
      <c r="B305" s="2027" t="str">
        <f t="shared" ref="B305:B310" si="49">IF(AND($C100=0,$D100=0,$E100=0,$F100=0,$G100=0),"",$B100)</f>
        <v>חינוך</v>
      </c>
      <c r="C305" s="2086">
        <f>C100</f>
        <v>943.96</v>
      </c>
      <c r="D305" s="758">
        <f t="shared" si="47"/>
        <v>147397</v>
      </c>
      <c r="E305" s="758">
        <f>E100</f>
        <v>142277</v>
      </c>
      <c r="F305" s="2086">
        <f t="shared" si="48"/>
        <v>156.14750625026483</v>
      </c>
      <c r="G305" s="2087">
        <f>G100</f>
        <v>160.58352144469526</v>
      </c>
      <c r="H305" s="297">
        <f t="shared" si="42"/>
        <v>0</v>
      </c>
      <c r="I305" s="297">
        <f t="shared" si="42"/>
        <v>0</v>
      </c>
    </row>
    <row r="306" spans="1:9">
      <c r="A306" s="297">
        <f t="shared" si="41"/>
        <v>0</v>
      </c>
      <c r="B306" s="2027" t="str">
        <f t="shared" si="49"/>
        <v>רווחה</v>
      </c>
      <c r="C306" s="1610">
        <f>C101</f>
        <v>103.96</v>
      </c>
      <c r="D306" s="326">
        <f t="shared" si="47"/>
        <v>18216</v>
      </c>
      <c r="E306" s="326">
        <f>E101</f>
        <v>16990</v>
      </c>
      <c r="F306" s="1610">
        <f t="shared" si="48"/>
        <v>175.22123893805312</v>
      </c>
      <c r="G306" s="2088">
        <f>G101</f>
        <v>176.97916666666666</v>
      </c>
      <c r="H306" s="297">
        <f t="shared" si="42"/>
        <v>0</v>
      </c>
      <c r="I306" s="297">
        <f t="shared" si="42"/>
        <v>0</v>
      </c>
    </row>
    <row r="307" spans="1:9">
      <c r="A307" s="297">
        <f t="shared" si="41"/>
        <v>0</v>
      </c>
      <c r="B307" s="2027" t="str">
        <f t="shared" si="49"/>
        <v>מוניציפלי ואחרות בכירים</v>
      </c>
      <c r="C307" s="1610">
        <f>C102</f>
        <v>14</v>
      </c>
      <c r="D307" s="326">
        <f t="shared" si="47"/>
        <v>7010</v>
      </c>
      <c r="E307" s="326">
        <f>E102</f>
        <v>6498</v>
      </c>
      <c r="F307" s="1610">
        <f t="shared" si="48"/>
        <v>500.71428571428572</v>
      </c>
      <c r="G307" s="2088">
        <f>G102</f>
        <v>499.84615384615387</v>
      </c>
      <c r="H307" s="297">
        <f t="shared" si="42"/>
        <v>0</v>
      </c>
      <c r="I307" s="297">
        <f t="shared" si="42"/>
        <v>0</v>
      </c>
    </row>
    <row r="308" spans="1:9">
      <c r="A308" s="3277">
        <f t="shared" si="41"/>
        <v>0</v>
      </c>
      <c r="B308" s="3278" t="str">
        <f t="shared" si="49"/>
        <v>מוניציפלי ואחרות אחרים</v>
      </c>
      <c r="C308" s="1610">
        <f>C103</f>
        <v>536.07000000000005</v>
      </c>
      <c r="D308" s="326">
        <f t="shared" si="47"/>
        <v>100036</v>
      </c>
      <c r="E308" s="326">
        <f>E103</f>
        <v>92710</v>
      </c>
      <c r="F308" s="1610">
        <f t="shared" si="48"/>
        <v>186.60995765478387</v>
      </c>
      <c r="G308" s="2088">
        <f>G103</f>
        <v>177.26577437858509</v>
      </c>
      <c r="H308" s="3277">
        <f t="shared" si="42"/>
        <v>0</v>
      </c>
      <c r="I308" s="3277">
        <f t="shared" si="42"/>
        <v>0</v>
      </c>
    </row>
    <row r="309" spans="1:9">
      <c r="A309" s="297">
        <f t="shared" ref="A309:A320" si="50">A104</f>
        <v>0</v>
      </c>
      <c r="B309" s="2027" t="str">
        <f t="shared" si="49"/>
        <v>נבחרים</v>
      </c>
      <c r="C309" s="1610">
        <f t="shared" ref="C309:I310" si="51">C104</f>
        <v>3</v>
      </c>
      <c r="D309" s="326">
        <f t="shared" si="51"/>
        <v>2045</v>
      </c>
      <c r="E309" s="326">
        <f t="shared" si="51"/>
        <v>1957</v>
      </c>
      <c r="F309" s="1610">
        <f t="shared" si="51"/>
        <v>681.66666666666663</v>
      </c>
      <c r="G309" s="2088">
        <f t="shared" si="51"/>
        <v>652.33333333333337</v>
      </c>
      <c r="H309" s="297">
        <f t="shared" si="51"/>
        <v>0</v>
      </c>
      <c r="I309" s="297">
        <f t="shared" si="51"/>
        <v>0</v>
      </c>
    </row>
    <row r="310" spans="1:9">
      <c r="A310" s="297">
        <f t="shared" si="50"/>
        <v>0</v>
      </c>
      <c r="B310" s="2027" t="str">
        <f t="shared" si="49"/>
        <v>פנסיונרים</v>
      </c>
      <c r="C310" s="1610">
        <f t="shared" si="51"/>
        <v>338.32</v>
      </c>
      <c r="D310" s="326">
        <f t="shared" si="51"/>
        <v>45198</v>
      </c>
      <c r="E310" s="326">
        <f t="shared" si="51"/>
        <v>43339</v>
      </c>
      <c r="F310" s="1610">
        <f t="shared" si="51"/>
        <v>133.5954126270986</v>
      </c>
      <c r="G310" s="2088">
        <f t="shared" si="51"/>
        <v>134.1764705882353</v>
      </c>
      <c r="H310" s="297">
        <f t="shared" si="51"/>
        <v>0</v>
      </c>
      <c r="I310" s="297">
        <f t="shared" si="51"/>
        <v>0</v>
      </c>
    </row>
    <row r="311" spans="1:9" ht="3" customHeight="1">
      <c r="A311" s="297">
        <f t="shared" si="50"/>
        <v>0</v>
      </c>
      <c r="B311" s="340">
        <f t="shared" ref="B311:B321" si="52">B106</f>
        <v>0</v>
      </c>
      <c r="C311" s="326">
        <f t="shared" ref="C311:G313" si="53">C106</f>
        <v>0</v>
      </c>
      <c r="D311" s="326">
        <f t="shared" si="53"/>
        <v>0</v>
      </c>
      <c r="E311" s="326">
        <f t="shared" si="53"/>
        <v>0</v>
      </c>
      <c r="F311" s="326">
        <f t="shared" si="53"/>
        <v>0</v>
      </c>
      <c r="G311" s="331">
        <f t="shared" si="53"/>
        <v>0</v>
      </c>
      <c r="H311" s="297">
        <f t="shared" ref="H311:I320" si="54">H106</f>
        <v>0</v>
      </c>
      <c r="I311" s="297">
        <f t="shared" si="54"/>
        <v>0</v>
      </c>
    </row>
    <row r="312" spans="1:9" ht="13.8" thickBot="1">
      <c r="A312" s="297">
        <f t="shared" si="50"/>
        <v>0</v>
      </c>
      <c r="B312" s="340">
        <f t="shared" si="52"/>
        <v>0</v>
      </c>
      <c r="C312" s="2089">
        <f t="shared" si="53"/>
        <v>1939.3100000000002</v>
      </c>
      <c r="D312" s="759">
        <f t="shared" si="53"/>
        <v>319902</v>
      </c>
      <c r="E312" s="759">
        <f t="shared" si="53"/>
        <v>303771</v>
      </c>
      <c r="F312" s="2089">
        <f t="shared" si="53"/>
        <v>164.95660827820203</v>
      </c>
      <c r="G312" s="2090">
        <f t="shared" si="53"/>
        <v>164.73481561822126</v>
      </c>
      <c r="H312" s="297">
        <f t="shared" si="54"/>
        <v>0</v>
      </c>
      <c r="I312" s="297">
        <f t="shared" si="54"/>
        <v>0</v>
      </c>
    </row>
    <row r="313" spans="1:9" ht="13.8" thickTop="1">
      <c r="A313" s="297">
        <f t="shared" si="50"/>
        <v>0</v>
      </c>
      <c r="B313" s="340">
        <f t="shared" si="52"/>
        <v>0</v>
      </c>
      <c r="C313" s="2055">
        <f t="shared" si="53"/>
        <v>0</v>
      </c>
      <c r="D313" s="2055">
        <f t="shared" si="53"/>
        <v>0</v>
      </c>
      <c r="E313" s="2055">
        <f t="shared" si="53"/>
        <v>0</v>
      </c>
      <c r="F313" s="2055">
        <f t="shared" si="53"/>
        <v>0</v>
      </c>
      <c r="G313" s="2056">
        <f t="shared" si="53"/>
        <v>0</v>
      </c>
      <c r="H313" s="2061">
        <f t="shared" si="54"/>
        <v>0</v>
      </c>
      <c r="I313" s="2061">
        <f t="shared" si="54"/>
        <v>0</v>
      </c>
    </row>
    <row r="314" spans="1:9">
      <c r="A314" s="297">
        <f t="shared" si="50"/>
        <v>0</v>
      </c>
      <c r="B314" s="3103" t="str">
        <f t="shared" si="52"/>
        <v>הוצאות שכר בפועל בסעיף מוניציפלי ואחרות כוללות הוצאות בגין סיום יחסי עובד מעביד ממחלקות שונות ברשות</v>
      </c>
      <c r="C314" s="2037"/>
      <c r="D314" s="2037"/>
      <c r="E314" s="2037"/>
      <c r="F314" s="2037"/>
      <c r="G314" s="2038"/>
      <c r="H314" s="2061">
        <f t="shared" si="54"/>
        <v>0</v>
      </c>
      <c r="I314" s="2061">
        <f t="shared" si="54"/>
        <v>0</v>
      </c>
    </row>
    <row r="315" spans="1:9">
      <c r="A315" s="297">
        <f t="shared" si="50"/>
        <v>0</v>
      </c>
      <c r="B315" s="3674" t="str">
        <f t="shared" si="52"/>
        <v>המוצג מבוסס על נתוני טופס 66</v>
      </c>
      <c r="C315" s="3674"/>
      <c r="D315" s="3674"/>
      <c r="E315" s="3674"/>
      <c r="F315" s="3674"/>
      <c r="G315" s="3674"/>
      <c r="H315" s="2061">
        <f t="shared" si="54"/>
        <v>0</v>
      </c>
      <c r="I315" s="2061">
        <f t="shared" si="54"/>
        <v>0</v>
      </c>
    </row>
    <row r="316" spans="1:9">
      <c r="A316" s="297">
        <f t="shared" si="50"/>
        <v>0</v>
      </c>
      <c r="B316" s="297">
        <f t="shared" si="52"/>
        <v>0</v>
      </c>
      <c r="C316" s="2061">
        <f>C111</f>
        <v>0</v>
      </c>
      <c r="D316" s="2061">
        <f>D111</f>
        <v>0</v>
      </c>
      <c r="E316" s="2061">
        <f>E111</f>
        <v>0</v>
      </c>
      <c r="F316" s="2061">
        <f>F111</f>
        <v>0</v>
      </c>
      <c r="G316" s="2061">
        <f>G111</f>
        <v>0</v>
      </c>
      <c r="H316" s="2061">
        <f t="shared" si="54"/>
        <v>0</v>
      </c>
      <c r="I316" s="2061">
        <f t="shared" si="54"/>
        <v>0</v>
      </c>
    </row>
    <row r="317" spans="1:9">
      <c r="A317" s="2021" t="str">
        <f t="shared" si="50"/>
        <v>*</v>
      </c>
      <c r="B317" s="3673" t="str">
        <f t="shared" si="52"/>
        <v>*שכר ממוצע למשרה בשנת 2014 מחושב עפ''י מצבת משרות ממוצעת בשנה זו</v>
      </c>
      <c r="C317" s="3673"/>
      <c r="D317" s="3673"/>
      <c r="E317" s="3673"/>
      <c r="F317" s="3673"/>
      <c r="G317" s="2061">
        <f>G112</f>
        <v>0</v>
      </c>
      <c r="H317" s="2061">
        <f t="shared" si="54"/>
        <v>0</v>
      </c>
      <c r="I317" s="2061">
        <f t="shared" si="54"/>
        <v>0</v>
      </c>
    </row>
    <row r="318" spans="1:9">
      <c r="A318" s="297">
        <f t="shared" si="50"/>
        <v>0</v>
      </c>
      <c r="B318" s="3673">
        <f t="shared" si="52"/>
        <v>0</v>
      </c>
      <c r="C318" s="3673"/>
      <c r="D318" s="3673"/>
      <c r="E318" s="3673"/>
      <c r="F318" s="2061">
        <f>F113</f>
        <v>0</v>
      </c>
      <c r="G318" s="2061">
        <f>G113</f>
        <v>0</v>
      </c>
      <c r="H318" s="2061">
        <f t="shared" si="54"/>
        <v>0</v>
      </c>
      <c r="I318" s="2061">
        <f t="shared" si="54"/>
        <v>0</v>
      </c>
    </row>
    <row r="319" spans="1:9">
      <c r="A319" s="297">
        <f t="shared" si="50"/>
        <v>0</v>
      </c>
      <c r="B319" s="3663" t="str">
        <f t="shared" si="52"/>
        <v>הרשות הינה רשות איתנה ותקציבה אינו טעון אישור משרד הפנים</v>
      </c>
      <c r="C319" s="3663"/>
      <c r="D319" s="2061">
        <f>D114</f>
        <v>0</v>
      </c>
      <c r="E319" s="2061">
        <f>E114</f>
        <v>0</v>
      </c>
      <c r="F319" s="2061">
        <f>F114</f>
        <v>0</v>
      </c>
      <c r="G319" s="2061">
        <f>G114</f>
        <v>0</v>
      </c>
      <c r="H319" s="2061">
        <f t="shared" si="54"/>
        <v>0</v>
      </c>
      <c r="I319" s="2061">
        <f t="shared" si="54"/>
        <v>0</v>
      </c>
    </row>
    <row r="320" spans="1:9">
      <c r="A320" s="297">
        <f t="shared" si="50"/>
        <v>0</v>
      </c>
      <c r="B320" s="3675" t="str">
        <f t="shared" si="52"/>
        <v xml:space="preserve"> </v>
      </c>
      <c r="C320" s="3675"/>
      <c r="D320" s="3675"/>
      <c r="E320" s="3675"/>
      <c r="F320" s="3675"/>
      <c r="G320" s="2061">
        <f>G115</f>
        <v>0</v>
      </c>
      <c r="H320" s="2061">
        <f t="shared" si="54"/>
        <v>0</v>
      </c>
      <c r="I320" s="2061">
        <f t="shared" si="54"/>
        <v>0</v>
      </c>
    </row>
    <row r="321" spans="2:9">
      <c r="B321" s="3663">
        <f t="shared" si="52"/>
        <v>0</v>
      </c>
      <c r="C321" s="3663"/>
      <c r="D321" s="3663"/>
      <c r="E321" s="3663"/>
      <c r="F321" s="2019"/>
      <c r="G321" s="2019"/>
      <c r="H321" s="2019"/>
      <c r="I321" s="2019"/>
    </row>
    <row r="322" spans="2:9">
      <c r="C322" s="2019"/>
      <c r="D322" s="2019"/>
      <c r="E322" s="2019"/>
      <c r="F322" s="2019"/>
      <c r="G322" s="2019"/>
      <c r="H322" s="2019"/>
      <c r="I322" s="2019"/>
    </row>
    <row r="323" spans="2:9">
      <c r="C323" s="2019"/>
      <c r="D323" s="2019"/>
      <c r="E323" s="2019"/>
      <c r="F323" s="2019"/>
      <c r="G323" s="2019"/>
      <c r="H323" s="2019"/>
      <c r="I323" s="2019"/>
    </row>
    <row r="324" spans="2:9">
      <c r="C324" s="2019"/>
      <c r="D324" s="2019"/>
      <c r="E324" s="2019"/>
      <c r="F324" s="2019"/>
      <c r="G324" s="2019"/>
      <c r="H324" s="2019"/>
      <c r="I324" s="2019"/>
    </row>
    <row r="325" spans="2:9">
      <c r="C325" s="2019"/>
      <c r="D325" s="2019"/>
      <c r="E325" s="2019"/>
      <c r="F325" s="2019"/>
      <c r="G325" s="2019"/>
      <c r="H325" s="2019"/>
      <c r="I325" s="2019"/>
    </row>
    <row r="326" spans="2:9">
      <c r="C326" s="2019"/>
      <c r="D326" s="2019"/>
      <c r="E326" s="2019"/>
      <c r="F326" s="2019"/>
      <c r="G326" s="2019"/>
      <c r="H326" s="2019"/>
      <c r="I326" s="2019"/>
    </row>
    <row r="327" spans="2:9">
      <c r="C327" s="2019"/>
      <c r="D327" s="2019"/>
      <c r="E327" s="2019"/>
      <c r="F327" s="2019"/>
      <c r="G327" s="2019"/>
      <c r="H327" s="2019"/>
      <c r="I327" s="2019"/>
    </row>
    <row r="328" spans="2:9">
      <c r="C328" s="2019"/>
      <c r="D328" s="2019"/>
      <c r="E328" s="2019"/>
      <c r="F328" s="2019"/>
      <c r="G328" s="2019"/>
      <c r="H328" s="2019"/>
      <c r="I328" s="2019"/>
    </row>
    <row r="329" spans="2:9">
      <c r="C329" s="2019"/>
      <c r="D329" s="2019"/>
      <c r="E329" s="2019"/>
      <c r="F329" s="2019"/>
      <c r="G329" s="2019"/>
      <c r="H329" s="2019"/>
      <c r="I329" s="2019"/>
    </row>
    <row r="330" spans="2:9">
      <c r="C330" s="2019"/>
      <c r="D330" s="2019"/>
      <c r="E330" s="2019"/>
      <c r="F330" s="2019"/>
      <c r="G330" s="2019"/>
      <c r="H330" s="2019"/>
      <c r="I330" s="2019"/>
    </row>
    <row r="331" spans="2:9">
      <c r="C331" s="2019"/>
      <c r="D331" s="2019"/>
      <c r="E331" s="2019"/>
      <c r="F331" s="2019"/>
      <c r="G331" s="2019"/>
      <c r="H331" s="2019"/>
      <c r="I331" s="2019"/>
    </row>
    <row r="332" spans="2:9">
      <c r="C332" s="2019"/>
      <c r="D332" s="2019"/>
      <c r="E332" s="2019"/>
      <c r="F332" s="2019"/>
      <c r="G332" s="2019"/>
      <c r="H332" s="2019"/>
      <c r="I332" s="2019"/>
    </row>
    <row r="333" spans="2:9">
      <c r="C333" s="2019"/>
      <c r="D333" s="2019"/>
      <c r="E333" s="2019"/>
      <c r="F333" s="2019"/>
      <c r="G333" s="2019"/>
      <c r="H333" s="2019"/>
      <c r="I333" s="2019"/>
    </row>
    <row r="334" spans="2:9">
      <c r="C334" s="2019"/>
      <c r="D334" s="2019"/>
      <c r="E334" s="2019"/>
      <c r="F334" s="2019"/>
      <c r="G334" s="2019"/>
      <c r="H334" s="2019"/>
      <c r="I334" s="2019"/>
    </row>
    <row r="335" spans="2:9">
      <c r="C335" s="2019"/>
      <c r="D335" s="2019"/>
      <c r="E335" s="2019"/>
      <c r="F335" s="2019"/>
      <c r="G335" s="2019"/>
      <c r="H335" s="2019"/>
      <c r="I335" s="2019"/>
    </row>
    <row r="336" spans="2:9">
      <c r="C336" s="2019"/>
      <c r="D336" s="2019"/>
      <c r="E336" s="2019"/>
      <c r="F336" s="2019"/>
      <c r="G336" s="2019"/>
      <c r="H336" s="2019"/>
      <c r="I336" s="2019"/>
    </row>
    <row r="337" spans="3:9">
      <c r="C337" s="2019"/>
      <c r="D337" s="2019"/>
      <c r="E337" s="2019"/>
      <c r="F337" s="2019"/>
      <c r="G337" s="2019"/>
      <c r="H337" s="2019"/>
      <c r="I337" s="2019"/>
    </row>
    <row r="338" spans="3:9">
      <c r="C338" s="2019"/>
      <c r="D338" s="2019"/>
      <c r="E338" s="2019"/>
      <c r="F338" s="2019"/>
      <c r="G338" s="2019"/>
      <c r="H338" s="2019"/>
      <c r="I338" s="2019"/>
    </row>
    <row r="339" spans="3:9">
      <c r="C339" s="2019"/>
      <c r="D339" s="2019"/>
      <c r="E339" s="2019"/>
      <c r="F339" s="2019"/>
      <c r="G339" s="2019"/>
      <c r="H339" s="2019"/>
      <c r="I339" s="2019"/>
    </row>
    <row r="340" spans="3:9">
      <c r="C340" s="2019"/>
      <c r="D340" s="2019"/>
      <c r="E340" s="2019"/>
      <c r="F340" s="2019"/>
      <c r="G340" s="2019"/>
      <c r="H340" s="2019"/>
      <c r="I340" s="2019"/>
    </row>
    <row r="341" spans="3:9">
      <c r="C341" s="2019"/>
      <c r="D341" s="2019"/>
      <c r="E341" s="2019"/>
      <c r="F341" s="2019"/>
      <c r="G341" s="2019"/>
      <c r="H341" s="2019"/>
      <c r="I341" s="2019"/>
    </row>
    <row r="342" spans="3:9">
      <c r="C342" s="2019"/>
      <c r="D342" s="2019"/>
      <c r="E342" s="2019"/>
      <c r="F342" s="2019"/>
      <c r="G342" s="2019"/>
      <c r="H342" s="2019"/>
      <c r="I342" s="2019"/>
    </row>
    <row r="343" spans="3:9">
      <c r="C343" s="2019"/>
      <c r="D343" s="2019"/>
      <c r="E343" s="2019"/>
      <c r="F343" s="2019"/>
      <c r="G343" s="2019"/>
      <c r="H343" s="2019"/>
      <c r="I343" s="2019"/>
    </row>
    <row r="344" spans="3:9">
      <c r="C344" s="2019"/>
      <c r="D344" s="2019"/>
      <c r="E344" s="2019"/>
      <c r="F344" s="2019"/>
      <c r="G344" s="2019"/>
      <c r="H344" s="2019"/>
      <c r="I344" s="2019"/>
    </row>
    <row r="345" spans="3:9">
      <c r="C345" s="2019"/>
      <c r="D345" s="2019"/>
      <c r="E345" s="2019"/>
      <c r="F345" s="2019"/>
      <c r="G345" s="2019"/>
      <c r="H345" s="2019"/>
      <c r="I345" s="2019"/>
    </row>
    <row r="346" spans="3:9">
      <c r="C346" s="2019"/>
      <c r="D346" s="2019"/>
      <c r="E346" s="2019"/>
      <c r="F346" s="2019"/>
      <c r="G346" s="2019"/>
      <c r="H346" s="2019"/>
      <c r="I346" s="2019"/>
    </row>
    <row r="347" spans="3:9">
      <c r="C347" s="2019"/>
      <c r="D347" s="2019"/>
      <c r="E347" s="2019"/>
      <c r="F347" s="2019"/>
      <c r="G347" s="2019"/>
      <c r="H347" s="2019"/>
      <c r="I347" s="2019"/>
    </row>
    <row r="348" spans="3:9">
      <c r="C348" s="2019"/>
      <c r="D348" s="2019"/>
      <c r="E348" s="2019"/>
      <c r="F348" s="2019"/>
      <c r="G348" s="2019"/>
      <c r="H348" s="2019"/>
      <c r="I348" s="2019"/>
    </row>
    <row r="349" spans="3:9">
      <c r="C349" s="2019"/>
      <c r="D349" s="2019"/>
      <c r="E349" s="2019"/>
      <c r="F349" s="2019"/>
      <c r="G349" s="2019"/>
      <c r="H349" s="2019"/>
      <c r="I349" s="2019"/>
    </row>
    <row r="350" spans="3:9">
      <c r="C350" s="2019"/>
      <c r="D350" s="2019"/>
      <c r="E350" s="2019"/>
      <c r="F350" s="2019"/>
      <c r="G350" s="2019"/>
      <c r="H350" s="2019"/>
      <c r="I350" s="2019"/>
    </row>
    <row r="351" spans="3:9">
      <c r="C351" s="2019"/>
      <c r="D351" s="2019"/>
      <c r="E351" s="2019"/>
      <c r="F351" s="2019"/>
      <c r="G351" s="2019"/>
      <c r="H351" s="2019"/>
      <c r="I351" s="2019"/>
    </row>
    <row r="352" spans="3:9">
      <c r="C352" s="2019"/>
      <c r="D352" s="2019"/>
      <c r="E352" s="2019"/>
      <c r="F352" s="2019"/>
      <c r="G352" s="2019"/>
      <c r="H352" s="2019"/>
      <c r="I352" s="2019"/>
    </row>
    <row r="353" spans="3:9">
      <c r="C353" s="2019"/>
      <c r="D353" s="2019"/>
      <c r="E353" s="2019"/>
      <c r="F353" s="2019"/>
      <c r="G353" s="2019"/>
      <c r="H353" s="2019"/>
      <c r="I353" s="2019"/>
    </row>
    <row r="354" spans="3:9">
      <c r="C354" s="2019"/>
      <c r="D354" s="2019"/>
      <c r="E354" s="2019"/>
      <c r="F354" s="2019"/>
      <c r="G354" s="2019"/>
      <c r="H354" s="2019"/>
      <c r="I354" s="2019"/>
    </row>
    <row r="355" spans="3:9">
      <c r="C355" s="2019"/>
      <c r="D355" s="2019"/>
      <c r="E355" s="2019"/>
      <c r="F355" s="2019"/>
      <c r="G355" s="2019"/>
      <c r="H355" s="2019"/>
      <c r="I355" s="2019"/>
    </row>
    <row r="356" spans="3:9">
      <c r="C356" s="2019"/>
      <c r="D356" s="2019"/>
      <c r="E356" s="2019"/>
      <c r="F356" s="2019"/>
      <c r="G356" s="2019"/>
      <c r="H356" s="2019"/>
      <c r="I356" s="2019"/>
    </row>
    <row r="357" spans="3:9">
      <c r="C357" s="2019"/>
      <c r="D357" s="2019"/>
      <c r="E357" s="2019"/>
      <c r="F357" s="2019"/>
      <c r="G357" s="2019"/>
      <c r="H357" s="2019"/>
      <c r="I357" s="2019"/>
    </row>
    <row r="358" spans="3:9">
      <c r="C358" s="2019"/>
      <c r="D358" s="2019"/>
      <c r="E358" s="2019"/>
      <c r="F358" s="2019"/>
      <c r="G358" s="2019"/>
      <c r="H358" s="2019"/>
      <c r="I358" s="2019"/>
    </row>
    <row r="359" spans="3:9">
      <c r="C359" s="2019"/>
      <c r="D359" s="2019"/>
      <c r="E359" s="2019"/>
      <c r="F359" s="2019"/>
      <c r="G359" s="2019"/>
      <c r="H359" s="2019"/>
      <c r="I359" s="2019"/>
    </row>
    <row r="360" spans="3:9">
      <c r="C360" s="2019"/>
      <c r="D360" s="2019"/>
      <c r="E360" s="2019"/>
      <c r="F360" s="2019"/>
      <c r="G360" s="2019"/>
      <c r="H360" s="2019"/>
      <c r="I360" s="2019"/>
    </row>
    <row r="361" spans="3:9">
      <c r="C361" s="2019"/>
      <c r="D361" s="2019"/>
      <c r="E361" s="2019"/>
      <c r="F361" s="2019"/>
      <c r="G361" s="2019"/>
      <c r="H361" s="2019"/>
      <c r="I361" s="2019"/>
    </row>
    <row r="362" spans="3:9">
      <c r="C362" s="2019"/>
      <c r="D362" s="2019"/>
      <c r="E362" s="2019"/>
      <c r="F362" s="2019"/>
      <c r="G362" s="2019"/>
      <c r="H362" s="2019"/>
      <c r="I362" s="2019"/>
    </row>
    <row r="363" spans="3:9">
      <c r="C363" s="2019"/>
      <c r="D363" s="2019"/>
      <c r="E363" s="2019"/>
      <c r="F363" s="2019"/>
      <c r="G363" s="2019"/>
      <c r="H363" s="2019"/>
      <c r="I363" s="2019"/>
    </row>
    <row r="364" spans="3:9">
      <c r="C364" s="2019"/>
      <c r="D364" s="2019"/>
      <c r="E364" s="2019"/>
      <c r="F364" s="2019"/>
      <c r="G364" s="2019"/>
      <c r="H364" s="2019"/>
      <c r="I364" s="2019"/>
    </row>
    <row r="365" spans="3:9">
      <c r="C365" s="2019"/>
      <c r="D365" s="2019"/>
      <c r="E365" s="2019"/>
      <c r="F365" s="2019"/>
      <c r="G365" s="2019"/>
      <c r="H365" s="2019"/>
      <c r="I365" s="2019"/>
    </row>
    <row r="366" spans="3:9">
      <c r="C366" s="2019"/>
      <c r="D366" s="2019"/>
      <c r="E366" s="2019"/>
      <c r="F366" s="2019"/>
      <c r="G366" s="2019"/>
      <c r="H366" s="2019"/>
      <c r="I366" s="2019"/>
    </row>
    <row r="367" spans="3:9">
      <c r="C367" s="2019"/>
      <c r="D367" s="2019"/>
      <c r="E367" s="2019"/>
      <c r="F367" s="2019"/>
      <c r="G367" s="2019"/>
      <c r="H367" s="2019"/>
      <c r="I367" s="2019"/>
    </row>
    <row r="368" spans="3:9">
      <c r="C368" s="2019"/>
      <c r="D368" s="2019"/>
      <c r="E368" s="2019"/>
      <c r="F368" s="2019"/>
      <c r="G368" s="2019"/>
      <c r="H368" s="2019"/>
      <c r="I368" s="2019"/>
    </row>
    <row r="369" spans="3:9">
      <c r="C369" s="2019"/>
      <c r="D369" s="2019"/>
      <c r="E369" s="2019"/>
      <c r="F369" s="2019"/>
      <c r="G369" s="2019"/>
      <c r="H369" s="2019"/>
      <c r="I369" s="2019"/>
    </row>
    <row r="370" spans="3:9">
      <c r="C370" s="2019"/>
      <c r="D370" s="2019"/>
      <c r="E370" s="2019"/>
      <c r="F370" s="2019"/>
      <c r="G370" s="2019"/>
      <c r="H370" s="2019"/>
      <c r="I370" s="2019"/>
    </row>
    <row r="371" spans="3:9">
      <c r="C371" s="2019"/>
      <c r="D371" s="2019"/>
      <c r="E371" s="2019"/>
      <c r="F371" s="2019"/>
      <c r="G371" s="2019"/>
      <c r="H371" s="2019"/>
      <c r="I371" s="2019"/>
    </row>
    <row r="372" spans="3:9">
      <c r="C372" s="2019"/>
      <c r="D372" s="2019"/>
      <c r="E372" s="2019"/>
      <c r="F372" s="2019"/>
      <c r="G372" s="2019"/>
      <c r="H372" s="2019"/>
      <c r="I372" s="2019"/>
    </row>
    <row r="373" spans="3:9">
      <c r="C373" s="2019"/>
      <c r="D373" s="2019"/>
      <c r="E373" s="2019"/>
      <c r="F373" s="2019"/>
      <c r="G373" s="2019"/>
      <c r="H373" s="2019"/>
      <c r="I373" s="2019"/>
    </row>
    <row r="374" spans="3:9">
      <c r="C374" s="2019"/>
      <c r="D374" s="2019"/>
      <c r="E374" s="2019"/>
      <c r="F374" s="2019"/>
      <c r="G374" s="2019"/>
      <c r="H374" s="2019"/>
      <c r="I374" s="2019"/>
    </row>
    <row r="375" spans="3:9">
      <c r="C375" s="2019"/>
      <c r="D375" s="2019"/>
      <c r="E375" s="2019"/>
      <c r="F375" s="2019"/>
      <c r="G375" s="2019"/>
      <c r="H375" s="2019"/>
      <c r="I375" s="2019"/>
    </row>
    <row r="376" spans="3:9">
      <c r="C376" s="2019"/>
      <c r="D376" s="2019"/>
      <c r="E376" s="2019"/>
      <c r="F376" s="2019"/>
      <c r="G376" s="2019"/>
      <c r="H376" s="2019"/>
      <c r="I376" s="2019"/>
    </row>
    <row r="377" spans="3:9">
      <c r="C377" s="2019"/>
      <c r="D377" s="2019"/>
      <c r="E377" s="2019"/>
      <c r="F377" s="2019"/>
      <c r="G377" s="2019"/>
      <c r="H377" s="2019"/>
      <c r="I377" s="2019"/>
    </row>
    <row r="378" spans="3:9">
      <c r="C378" s="2019"/>
      <c r="D378" s="2019"/>
      <c r="E378" s="2019"/>
      <c r="F378" s="2019"/>
      <c r="G378" s="2019"/>
      <c r="H378" s="2019"/>
      <c r="I378" s="2019"/>
    </row>
    <row r="379" spans="3:9">
      <c r="C379" s="2019"/>
      <c r="D379" s="2019"/>
      <c r="E379" s="2019"/>
      <c r="F379" s="2019"/>
      <c r="G379" s="2019"/>
      <c r="H379" s="2019"/>
      <c r="I379" s="2019"/>
    </row>
    <row r="380" spans="3:9">
      <c r="C380" s="2019"/>
      <c r="D380" s="2019"/>
      <c r="E380" s="2019"/>
      <c r="F380" s="2019"/>
      <c r="G380" s="2019"/>
      <c r="H380" s="2019"/>
      <c r="I380" s="2019"/>
    </row>
    <row r="381" spans="3:9">
      <c r="C381" s="2019"/>
      <c r="D381" s="2019"/>
      <c r="E381" s="2019"/>
      <c r="F381" s="2019"/>
      <c r="G381" s="2019"/>
      <c r="H381" s="2019"/>
      <c r="I381" s="2019"/>
    </row>
    <row r="382" spans="3:9">
      <c r="C382" s="2019"/>
      <c r="D382" s="2019"/>
      <c r="E382" s="2019"/>
      <c r="F382" s="2019"/>
      <c r="G382" s="2019"/>
      <c r="H382" s="2019"/>
      <c r="I382" s="2019"/>
    </row>
    <row r="383" spans="3:9">
      <c r="C383" s="2019"/>
      <c r="D383" s="2019"/>
      <c r="E383" s="2019"/>
      <c r="F383" s="2019"/>
      <c r="G383" s="2019"/>
      <c r="H383" s="2019"/>
      <c r="I383" s="2019"/>
    </row>
    <row r="384" spans="3:9">
      <c r="C384" s="2019"/>
      <c r="D384" s="2019"/>
      <c r="E384" s="2019"/>
      <c r="F384" s="2019"/>
      <c r="G384" s="2019"/>
      <c r="H384" s="2019"/>
      <c r="I384" s="2019"/>
    </row>
    <row r="385" spans="3:9">
      <c r="C385" s="2019"/>
      <c r="D385" s="2019"/>
      <c r="E385" s="2019"/>
      <c r="F385" s="2019"/>
      <c r="G385" s="2019"/>
      <c r="H385" s="2019"/>
      <c r="I385" s="2019"/>
    </row>
    <row r="386" spans="3:9">
      <c r="C386" s="2019"/>
      <c r="D386" s="2019"/>
      <c r="E386" s="2019"/>
      <c r="F386" s="2019"/>
      <c r="G386" s="2019"/>
      <c r="H386" s="2019"/>
      <c r="I386" s="2019"/>
    </row>
    <row r="387" spans="3:9">
      <c r="C387" s="2019"/>
      <c r="D387" s="2019"/>
      <c r="E387" s="2019"/>
      <c r="F387" s="2019"/>
      <c r="G387" s="2019"/>
      <c r="H387" s="2019"/>
      <c r="I387" s="2019"/>
    </row>
    <row r="388" spans="3:9">
      <c r="C388" s="2019"/>
      <c r="D388" s="2019"/>
      <c r="E388" s="2019"/>
      <c r="F388" s="2019"/>
      <c r="G388" s="2019"/>
      <c r="H388" s="2019"/>
      <c r="I388" s="2019"/>
    </row>
    <row r="389" spans="3:9">
      <c r="C389" s="2019"/>
      <c r="D389" s="2019"/>
      <c r="E389" s="2019"/>
      <c r="F389" s="2019"/>
      <c r="G389" s="2019"/>
      <c r="H389" s="2019"/>
      <c r="I389" s="2019"/>
    </row>
    <row r="390" spans="3:9">
      <c r="C390" s="2019"/>
      <c r="D390" s="2019"/>
      <c r="E390" s="2019"/>
      <c r="F390" s="2019"/>
      <c r="G390" s="2019"/>
      <c r="H390" s="2019"/>
      <c r="I390" s="2019"/>
    </row>
    <row r="391" spans="3:9">
      <c r="C391" s="2019"/>
      <c r="D391" s="2019"/>
      <c r="E391" s="2019"/>
      <c r="F391" s="2019"/>
      <c r="G391" s="2019"/>
      <c r="H391" s="2019"/>
      <c r="I391" s="2019"/>
    </row>
    <row r="392" spans="3:9">
      <c r="C392" s="2019"/>
      <c r="D392" s="2019"/>
      <c r="E392" s="2019"/>
      <c r="F392" s="2019"/>
      <c r="G392" s="2019"/>
      <c r="H392" s="2019"/>
      <c r="I392" s="2019"/>
    </row>
    <row r="393" spans="3:9">
      <c r="C393" s="2019"/>
      <c r="D393" s="2019"/>
      <c r="E393" s="2019"/>
      <c r="F393" s="2019"/>
      <c r="G393" s="2019"/>
      <c r="H393" s="2019"/>
      <c r="I393" s="2019"/>
    </row>
    <row r="394" spans="3:9">
      <c r="C394" s="2019"/>
      <c r="D394" s="2019"/>
      <c r="E394" s="2019"/>
      <c r="F394" s="2019"/>
      <c r="G394" s="2019"/>
      <c r="H394" s="2019"/>
      <c r="I394" s="2019"/>
    </row>
    <row r="395" spans="3:9">
      <c r="C395" s="2019"/>
      <c r="D395" s="2019"/>
      <c r="E395" s="2019"/>
      <c r="F395" s="2019"/>
      <c r="G395" s="2019"/>
      <c r="H395" s="2019"/>
      <c r="I395" s="2019"/>
    </row>
    <row r="396" spans="3:9">
      <c r="C396" s="2019"/>
      <c r="D396" s="2019"/>
      <c r="E396" s="2019"/>
      <c r="F396" s="2019"/>
      <c r="G396" s="2019"/>
      <c r="H396" s="2019"/>
      <c r="I396" s="2019"/>
    </row>
    <row r="397" spans="3:9">
      <c r="C397" s="2019"/>
      <c r="D397" s="2019"/>
      <c r="E397" s="2019"/>
      <c r="F397" s="2019"/>
      <c r="G397" s="2019"/>
      <c r="H397" s="2019"/>
      <c r="I397" s="2019"/>
    </row>
    <row r="398" spans="3:9">
      <c r="C398" s="2019"/>
      <c r="D398" s="2019"/>
      <c r="E398" s="2019"/>
      <c r="F398" s="2019"/>
      <c r="G398" s="2019"/>
      <c r="H398" s="2019"/>
      <c r="I398" s="2019"/>
    </row>
    <row r="399" spans="3:9">
      <c r="C399" s="2019"/>
      <c r="D399" s="2019"/>
      <c r="E399" s="2019"/>
      <c r="F399" s="2019"/>
      <c r="G399" s="2019"/>
      <c r="H399" s="2019"/>
      <c r="I399" s="2019"/>
    </row>
    <row r="400" spans="3:9">
      <c r="C400" s="2019"/>
      <c r="D400" s="2019"/>
      <c r="E400" s="2019"/>
      <c r="F400" s="2019"/>
      <c r="G400" s="2019"/>
      <c r="H400" s="2019"/>
      <c r="I400" s="2019"/>
    </row>
    <row r="401" spans="3:9">
      <c r="C401" s="2019"/>
      <c r="D401" s="2019"/>
      <c r="E401" s="2019"/>
      <c r="F401" s="2019"/>
      <c r="G401" s="2019"/>
      <c r="H401" s="2019"/>
      <c r="I401" s="2019"/>
    </row>
    <row r="402" spans="3:9">
      <c r="C402" s="2019"/>
      <c r="D402" s="2019"/>
      <c r="E402" s="2019"/>
      <c r="F402" s="2019"/>
      <c r="G402" s="2019"/>
      <c r="H402" s="2019"/>
      <c r="I402" s="2019"/>
    </row>
  </sheetData>
  <sheetProtection password="83C1" sheet="1" objects="1" scenarios="1"/>
  <mergeCells count="56">
    <mergeCell ref="F293:G293"/>
    <mergeCell ref="F83:G83"/>
    <mergeCell ref="F89:G89"/>
    <mergeCell ref="B319:C319"/>
    <mergeCell ref="F216:G216"/>
    <mergeCell ref="F217:G217"/>
    <mergeCell ref="F219:G219"/>
    <mergeCell ref="F220:G220"/>
    <mergeCell ref="F224:G224"/>
    <mergeCell ref="B263:C263"/>
    <mergeCell ref="F275:G275"/>
    <mergeCell ref="F286:G286"/>
    <mergeCell ref="F277:G277"/>
    <mergeCell ref="F280:G280"/>
    <mergeCell ref="F283:G283"/>
    <mergeCell ref="F296:G296"/>
    <mergeCell ref="B116:E116"/>
    <mergeCell ref="F287:G287"/>
    <mergeCell ref="C268:G268"/>
    <mergeCell ref="C269:G269"/>
    <mergeCell ref="A205:I205"/>
    <mergeCell ref="F278:G278"/>
    <mergeCell ref="F276:G276"/>
    <mergeCell ref="F285:G285"/>
    <mergeCell ref="B320:F320"/>
    <mergeCell ref="D1:I1"/>
    <mergeCell ref="D2:I2"/>
    <mergeCell ref="D3:I3"/>
    <mergeCell ref="C64:G64"/>
    <mergeCell ref="C63:G63"/>
    <mergeCell ref="D303:E303"/>
    <mergeCell ref="F303:G303"/>
    <mergeCell ref="F290:G290"/>
    <mergeCell ref="F302:G302"/>
    <mergeCell ref="F292:G292"/>
    <mergeCell ref="F298:G298"/>
    <mergeCell ref="F289:G289"/>
    <mergeCell ref="A204:I204"/>
    <mergeCell ref="F297:G297"/>
    <mergeCell ref="F294:G294"/>
    <mergeCell ref="B321:E321"/>
    <mergeCell ref="F295:G295"/>
    <mergeCell ref="C65:G65"/>
    <mergeCell ref="F97:G97"/>
    <mergeCell ref="G211:H211"/>
    <mergeCell ref="D211:E211"/>
    <mergeCell ref="B114:D114"/>
    <mergeCell ref="D98:E98"/>
    <mergeCell ref="F98:G98"/>
    <mergeCell ref="B112:G112"/>
    <mergeCell ref="A206:I206"/>
    <mergeCell ref="B318:E318"/>
    <mergeCell ref="B315:G315"/>
    <mergeCell ref="B317:F317"/>
    <mergeCell ref="B113:E113"/>
    <mergeCell ref="C270:G270"/>
  </mergeCells>
  <phoneticPr fontId="4" type="noConversion"/>
  <hyperlinks>
    <hyperlink ref="A4" location="'תוכן הענינים'!A1" tooltip="לחץ להצגת גליון תוכן הענינים" display="הצג תוכן ענינים"/>
  </hyperlinks>
  <printOptions horizontalCentered="1"/>
  <pageMargins left="0" right="0" top="0.75" bottom="0.75" header="0.25" footer="0.25"/>
  <pageSetup paperSize="9" scale="85" orientation="portrait" blackAndWhite="1" horizontalDpi="300" verticalDpi="300" r:id="rId1"/>
  <headerFooter alignWithMargins="0">
    <oddHeader>&amp;L&amp;8&amp;A</oddHeader>
    <oddFooter>&amp;C&amp;8&amp;P</oddFooter>
  </headerFooter>
  <rowBreaks count="2" manualBreakCount="2">
    <brk id="61" max="16383" man="1"/>
    <brk id="265" max="8" man="1"/>
  </rowBreaks>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3"/>
  <dimension ref="A1:N246"/>
  <sheetViews>
    <sheetView showGridLines="0" showRowColHeaders="0" showZeros="0" rightToLeft="1" tabSelected="1" showOutlineSymbols="0" zoomScaleNormal="100" workbookViewId="0"/>
  </sheetViews>
  <sheetFormatPr defaultColWidth="9.109375" defaultRowHeight="18" customHeight="1"/>
  <cols>
    <col min="1" max="1" width="9.109375" style="179"/>
    <col min="2" max="2" width="28.33203125" style="883" customWidth="1"/>
    <col min="3" max="4" width="12.33203125" style="179" customWidth="1"/>
    <col min="5" max="5" width="9.109375" style="179"/>
    <col min="6" max="6" width="12.33203125" style="179" customWidth="1"/>
    <col min="7" max="7" width="9" style="179" customWidth="1"/>
    <col min="8" max="8" width="2.109375" style="179" customWidth="1"/>
    <col min="9" max="9" width="27" style="179" customWidth="1"/>
    <col min="10" max="11" width="12.33203125" style="179" customWidth="1"/>
    <col min="12" max="16384" width="9.109375" style="179"/>
  </cols>
  <sheetData>
    <row r="1" spans="1:14" ht="18.75" customHeight="1">
      <c r="A1" s="768"/>
      <c r="B1" s="2091"/>
      <c r="C1" s="2092"/>
      <c r="D1" s="2092"/>
      <c r="E1" s="3695" t="str">
        <f>'הגדרות כלליות'!D6</f>
        <v>עירית הרצליה</v>
      </c>
      <c r="F1" s="3695"/>
      <c r="G1" s="3695"/>
      <c r="H1" s="3695"/>
      <c r="I1" s="3695"/>
      <c r="J1" s="2092"/>
      <c r="K1" s="2092"/>
      <c r="L1" s="181"/>
      <c r="M1" s="181"/>
      <c r="N1" s="178"/>
    </row>
    <row r="2" spans="1:14" ht="18" customHeight="1">
      <c r="A2" s="768"/>
      <c r="B2" s="2093"/>
      <c r="C2" s="2094"/>
      <c r="D2" s="2094"/>
      <c r="E2" s="3695" t="str">
        <f>CONCATENATE("תמצית הדוחות הכספיים לשנת ",'הגדרות כלליות'!D10)</f>
        <v>תמצית הדוחות הכספיים לשנת 2015</v>
      </c>
      <c r="F2" s="3695"/>
      <c r="G2" s="3695"/>
      <c r="H2" s="3695"/>
      <c r="I2" s="3695"/>
      <c r="J2" s="2094"/>
      <c r="K2" s="2094"/>
      <c r="L2" s="181"/>
      <c r="M2" s="181"/>
      <c r="N2" s="178"/>
    </row>
    <row r="3" spans="1:14" ht="18" customHeight="1">
      <c r="A3" s="768"/>
      <c r="B3" s="2095"/>
      <c r="C3" s="2095"/>
      <c r="D3" s="2095"/>
      <c r="E3" s="3696" t="s">
        <v>1059</v>
      </c>
      <c r="F3" s="3696"/>
      <c r="G3" s="3696"/>
      <c r="H3" s="3696"/>
      <c r="I3" s="3696"/>
      <c r="J3" s="2095"/>
      <c r="K3" s="2095"/>
      <c r="L3" s="181"/>
      <c r="M3" s="181"/>
      <c r="N3" s="178"/>
    </row>
    <row r="4" spans="1:14" ht="18" customHeight="1">
      <c r="A4" s="7" t="s">
        <v>339</v>
      </c>
      <c r="B4" s="880"/>
      <c r="C4" s="880"/>
      <c r="D4" s="880"/>
      <c r="E4" s="880"/>
      <c r="F4" s="880"/>
      <c r="G4" s="880"/>
      <c r="H4" s="880"/>
      <c r="I4" s="880"/>
      <c r="J4" s="880"/>
      <c r="K4" s="880"/>
      <c r="L4" s="195"/>
      <c r="M4" s="195"/>
      <c r="N4" s="178"/>
    </row>
    <row r="5" spans="1:14" ht="18" customHeight="1">
      <c r="A5" s="195"/>
      <c r="B5" s="2096" t="s">
        <v>1111</v>
      </c>
      <c r="C5" s="3694">
        <f>'נתונים כלליים'!$C$3</f>
        <v>101302</v>
      </c>
      <c r="D5" s="3694"/>
      <c r="E5" s="653"/>
      <c r="F5" s="653"/>
      <c r="G5" s="274"/>
      <c r="H5" s="274"/>
      <c r="I5" s="880"/>
      <c r="J5" s="880"/>
      <c r="K5" s="880"/>
      <c r="L5" s="195"/>
      <c r="M5" s="195"/>
      <c r="N5" s="178"/>
    </row>
    <row r="6" spans="1:14" ht="18" customHeight="1">
      <c r="A6" s="195"/>
      <c r="B6" s="2096" t="s">
        <v>1112</v>
      </c>
      <c r="C6" s="3694">
        <f>'נתונים כלליים'!$C$4</f>
        <v>102642</v>
      </c>
      <c r="D6" s="3694"/>
      <c r="E6" s="3700" t="s">
        <v>1113</v>
      </c>
      <c r="F6" s="3700"/>
      <c r="G6" s="3701">
        <f>'נתונים כלליים'!$G$4</f>
        <v>23000</v>
      </c>
      <c r="H6" s="3701"/>
      <c r="I6" s="880"/>
      <c r="J6" s="880"/>
      <c r="K6" s="880"/>
      <c r="L6" s="195"/>
      <c r="M6" s="195"/>
      <c r="N6" s="178"/>
    </row>
    <row r="7" spans="1:14" ht="18" customHeight="1">
      <c r="A7" s="195"/>
      <c r="B7" s="2096" t="s">
        <v>1114</v>
      </c>
      <c r="C7" s="3694">
        <f>'נתונים כלליים'!$C$5</f>
        <v>34384</v>
      </c>
      <c r="D7" s="3694"/>
      <c r="E7" s="3700" t="s">
        <v>1115</v>
      </c>
      <c r="F7" s="3700"/>
      <c r="G7" s="3702">
        <f>'נתונים כלליים'!$G$5</f>
        <v>8</v>
      </c>
      <c r="H7" s="3702"/>
      <c r="I7" s="880"/>
      <c r="J7" s="880"/>
      <c r="K7" s="880"/>
      <c r="L7" s="195"/>
      <c r="M7" s="195"/>
      <c r="N7" s="178"/>
    </row>
    <row r="8" spans="1:14" ht="18" customHeight="1">
      <c r="A8" s="195"/>
      <c r="B8" s="2097"/>
      <c r="C8" s="2098"/>
      <c r="D8" s="2098"/>
      <c r="E8" s="2098"/>
      <c r="F8" s="2098"/>
      <c r="G8" s="2099"/>
      <c r="H8" s="2099"/>
      <c r="I8" s="880"/>
      <c r="J8" s="880"/>
      <c r="K8" s="880"/>
      <c r="L8" s="195"/>
      <c r="M8" s="195"/>
      <c r="N8" s="178"/>
    </row>
    <row r="9" spans="1:14" ht="23.25" customHeight="1">
      <c r="A9" s="195"/>
      <c r="B9" s="3699" t="s">
        <v>1116</v>
      </c>
      <c r="C9" s="3699"/>
      <c r="D9" s="3699"/>
      <c r="E9" s="3699"/>
      <c r="F9" s="3699"/>
      <c r="G9" s="3699"/>
      <c r="H9" s="2100"/>
      <c r="I9" s="3698" t="s">
        <v>1063</v>
      </c>
      <c r="J9" s="3698"/>
      <c r="K9" s="3698"/>
      <c r="L9" s="195"/>
      <c r="M9" s="195"/>
      <c r="N9" s="178"/>
    </row>
    <row r="10" spans="1:14" ht="18" customHeight="1">
      <c r="A10" s="195"/>
      <c r="B10" s="2101" t="s">
        <v>524</v>
      </c>
      <c r="C10" s="772" t="str">
        <f>CONCATENATE("תקציב ",'הגדרות כלליות'!D10)</f>
        <v>תקציב 2015</v>
      </c>
      <c r="D10" s="772" t="str">
        <f>CONCATENATE("ביצוע ",'הגדרות כלליות'!D10)</f>
        <v>ביצוע 2015</v>
      </c>
      <c r="E10" s="772" t="s">
        <v>1085</v>
      </c>
      <c r="F10" s="772" t="str">
        <f>CONCATENATE("ביצוע ",'הגדרות כלליות'!D12)</f>
        <v>ביצוע 2014</v>
      </c>
      <c r="G10" s="773" t="s">
        <v>1085</v>
      </c>
      <c r="H10" s="1875"/>
      <c r="I10" s="2102" t="s">
        <v>340</v>
      </c>
      <c r="J10" s="2103">
        <f>'הגדרות כלליות'!D10</f>
        <v>2015</v>
      </c>
      <c r="K10" s="2104">
        <f>'הגדרות כלליות'!D12</f>
        <v>2014</v>
      </c>
      <c r="L10" s="645"/>
      <c r="M10" s="195"/>
      <c r="N10" s="178"/>
    </row>
    <row r="11" spans="1:14" ht="18" customHeight="1">
      <c r="A11" s="195"/>
      <c r="B11" s="2105" t="s">
        <v>1117</v>
      </c>
      <c r="C11" s="1947">
        <f>'נספח 3 לטופס 2'!E8+'נספח 3 לטופס 2'!E9+'נספח 3 לטופס 2'!E10+'נספח 3 לטופס 2'!E11+'נספח 3 לטופס 2'!E19</f>
        <v>642311</v>
      </c>
      <c r="D11" s="2106">
        <f>'נספח 3 לטופס 2'!G8+'נספח 3 לטופס 2'!G9+'נספח 3 לטופס 2'!G10+'נספח 3 לטופס 2'!G11+'נספח 3 לטופס 2'!G19</f>
        <v>662635</v>
      </c>
      <c r="E11" s="2107">
        <f>IF($D$16=0,0,D11/$D$16)</f>
        <v>0.7761145955949097</v>
      </c>
      <c r="F11" s="2106">
        <f>'נספח 3 לטופס 2'!M8+'נספח 3 לטופס 2'!M9+'נספח 3 לטופס 2'!M10+'נספח 3 לטופס 2'!M11+'נספח 3 לטופס 2'!M19</f>
        <v>613719</v>
      </c>
      <c r="G11" s="2108">
        <f>IF($F$16=0,0,F11/$F$16)</f>
        <v>0.77129930438170402</v>
      </c>
      <c r="H11" s="1875"/>
      <c r="I11" s="789" t="s">
        <v>342</v>
      </c>
      <c r="J11" s="1947">
        <f>'טופס 1 אקטיב'!$F$12+'טופס 1 אקטיב'!F14</f>
        <v>254202</v>
      </c>
      <c r="K11" s="1948">
        <f>'טופס 1 אקטיב'!$H$12+'טופס 1 אקטיב'!H14</f>
        <v>241810</v>
      </c>
      <c r="L11" s="645"/>
      <c r="M11" s="195"/>
      <c r="N11" s="178"/>
    </row>
    <row r="12" spans="1:14" ht="18" customHeight="1">
      <c r="A12" s="195"/>
      <c r="B12" s="2105" t="s">
        <v>1118</v>
      </c>
      <c r="C12" s="1919">
        <f>'נספח 3 לטופס 2'!E12</f>
        <v>136736</v>
      </c>
      <c r="D12" s="1920">
        <f>'נספח 3 לטופס 2'!G12</f>
        <v>135863</v>
      </c>
      <c r="E12" s="2109">
        <f>IF($D$16=0,0,D12/$D$16)</f>
        <v>0.1591302259936635</v>
      </c>
      <c r="F12" s="1920">
        <f>'נספח 3 לטופס 2'!M12</f>
        <v>130249</v>
      </c>
      <c r="G12" s="2110">
        <f>IF($F$16=0,0,F12/$F$16)</f>
        <v>0.16369211821112362</v>
      </c>
      <c r="H12" s="1875"/>
      <c r="I12" s="789" t="s">
        <v>1064</v>
      </c>
      <c r="J12" s="1919">
        <f>'טופס 1 אקטיב'!$F$16+'טופס 1 אקטיב'!F18</f>
        <v>447168</v>
      </c>
      <c r="K12" s="1952">
        <f>'טופס 1 אקטיב'!$H$16+'טופס 1 אקטיב'!H18</f>
        <v>313118</v>
      </c>
      <c r="L12" s="645"/>
      <c r="M12" s="195"/>
      <c r="N12" s="178"/>
    </row>
    <row r="13" spans="1:14" ht="18" customHeight="1">
      <c r="A13" s="195"/>
      <c r="B13" s="2105" t="s">
        <v>1119</v>
      </c>
      <c r="C13" s="1919">
        <f>'נספח 3 לטופס 2'!E13</f>
        <v>52388</v>
      </c>
      <c r="D13" s="1920">
        <f>'נספח 3 לטופס 2'!G13</f>
        <v>51067</v>
      </c>
      <c r="E13" s="2109">
        <f>IF($D$16=0,0,D13/$D$16)</f>
        <v>5.9812482065156922E-2</v>
      </c>
      <c r="F13" s="1920">
        <f>'נספח 3 לטופס 2'!M13</f>
        <v>47943</v>
      </c>
      <c r="G13" s="2110">
        <f>IF($F$16=0,0,F13/$F$16)</f>
        <v>6.0252986382973377E-2</v>
      </c>
      <c r="H13" s="1875"/>
      <c r="I13" s="2111" t="s">
        <v>55</v>
      </c>
      <c r="J13" s="1970">
        <f>'טופס 1 אקטיב'!$F$20+'טופס 1 אקטיב'!$F$22</f>
        <v>180910</v>
      </c>
      <c r="K13" s="1972">
        <f>'טופס 1 אקטיב'!$H$20+'טופס 1 אקטיב'!$H$22</f>
        <v>180745</v>
      </c>
      <c r="L13" s="645"/>
      <c r="M13" s="195"/>
      <c r="N13" s="178"/>
    </row>
    <row r="14" spans="1:14" ht="18" customHeight="1">
      <c r="A14" s="195"/>
      <c r="B14" s="2105" t="s">
        <v>1120</v>
      </c>
      <c r="C14" s="1919">
        <f>'נספח 3 לטופס 2'!E14</f>
        <v>3304</v>
      </c>
      <c r="D14" s="1920">
        <f>'נספח 3 לטופס 2'!G14</f>
        <v>2896</v>
      </c>
      <c r="E14" s="2109">
        <f>IF($D$16=0,0,1-(E11+E12 + E13+E15))</f>
        <v>3.3919546490043251E-3</v>
      </c>
      <c r="F14" s="1920">
        <f>'נספח 3 לטופס 2'!M14</f>
        <v>3457</v>
      </c>
      <c r="G14" s="2110">
        <f>IF($F$16=0,0,1 - (G11+G12+G13+G15))</f>
        <v>4.3446295376997623E-3</v>
      </c>
      <c r="H14" s="1875"/>
      <c r="I14" s="789" t="s">
        <v>1122</v>
      </c>
      <c r="J14" s="1919">
        <f>'טופס 1 אקטיב'!$F$29+'טופס 1 אקטיב'!$F$31</f>
        <v>0</v>
      </c>
      <c r="K14" s="1952">
        <f>'טופס 1 אקטיב'!$H$29+'טופס 1 אקטיב'!$H$31</f>
        <v>0</v>
      </c>
      <c r="L14" s="645"/>
      <c r="M14" s="195"/>
      <c r="N14" s="178"/>
    </row>
    <row r="15" spans="1:14" ht="18" customHeight="1">
      <c r="A15" s="195"/>
      <c r="B15" s="2105" t="s">
        <v>10</v>
      </c>
      <c r="C15" s="1921">
        <f>'נספח 3 לטופס 2'!E15+'נספח 3 לטופס 2'!E16+'נספח 3 לטופס 2'!E18+'נספח 3 לטופס 2'!E22+'נספח 3 לטופס 2'!E17</f>
        <v>1486</v>
      </c>
      <c r="D15" s="1922">
        <f>'נספח 3 לטופס 2'!G15+'נספח 3 לטופס 2'!G16+'נספח 3 לטופס 2'!G18+'נספח 3 לטופס 2'!G22+'נספח 3 לטופס 2'!G17</f>
        <v>1324</v>
      </c>
      <c r="E15" s="2112">
        <f>IF($D$16=0,0,D15/$D$16)</f>
        <v>1.550741697265705E-3</v>
      </c>
      <c r="F15" s="1922">
        <f>'נספח 3 לטופס 2'!M15+'נספח 3 לטופס 2'!M16+'נספח 3 לטופס 2'!M18+'נספח 3 לטופס 2'!M22+'נספח 3 לטופס 2'!M17</f>
        <v>327</v>
      </c>
      <c r="G15" s="2113">
        <f>IF($F$16=0,0,F15/$F$16)</f>
        <v>4.1096148649922393E-4</v>
      </c>
      <c r="H15" s="1875"/>
      <c r="I15" s="789" t="s">
        <v>1070</v>
      </c>
      <c r="J15" s="1919">
        <f>'טופס 1 אקטיב'!$F$33+'טופס 1 אקטיב'!$F$34</f>
        <v>0</v>
      </c>
      <c r="K15" s="1952">
        <f>'טופס 1 אקטיב'!$H$33+'טופס 1 אקטיב'!$H$34</f>
        <v>0</v>
      </c>
      <c r="L15" s="645"/>
      <c r="M15" s="195"/>
      <c r="N15" s="178"/>
    </row>
    <row r="16" spans="1:14" ht="18" customHeight="1" thickBot="1">
      <c r="A16" s="195"/>
      <c r="B16" s="2114" t="s">
        <v>782</v>
      </c>
      <c r="C16" s="2115">
        <f>SUM(C11:C15)</f>
        <v>836225</v>
      </c>
      <c r="D16" s="2116">
        <f>SUM(D11:D15)</f>
        <v>853785</v>
      </c>
      <c r="E16" s="2117">
        <f>SUM(E11:E15)</f>
        <v>1</v>
      </c>
      <c r="F16" s="2116">
        <f>SUM(F11:F15)</f>
        <v>795695</v>
      </c>
      <c r="G16" s="2118">
        <f>SUM(G11:G15)</f>
        <v>1</v>
      </c>
      <c r="H16" s="1875"/>
      <c r="I16" s="789" t="s">
        <v>1123</v>
      </c>
      <c r="J16" s="1919">
        <f>'טופס 1 אקטיב'!$F$36+'טופס 1 אקטיב'!$F$37</f>
        <v>0</v>
      </c>
      <c r="K16" s="1952">
        <f>'טופס 1 אקטיב'!$H$36+'טופס 1 אקטיב'!$H$37</f>
        <v>0</v>
      </c>
      <c r="L16" s="645"/>
      <c r="M16" s="195"/>
      <c r="N16" s="178"/>
    </row>
    <row r="17" spans="1:14" ht="18" customHeight="1" thickTop="1" thickBot="1">
      <c r="A17" s="195"/>
      <c r="B17" s="789"/>
      <c r="C17" s="2119"/>
      <c r="D17" s="2119"/>
      <c r="E17" s="2119"/>
      <c r="F17" s="2119"/>
      <c r="G17" s="2120"/>
      <c r="H17" s="1875"/>
      <c r="I17" s="2114" t="s">
        <v>782</v>
      </c>
      <c r="J17" s="2115">
        <f>SUM(J11:J16)</f>
        <v>882280</v>
      </c>
      <c r="K17" s="2121">
        <f>SUM(K11:K16)</f>
        <v>735673</v>
      </c>
      <c r="L17" s="645"/>
      <c r="M17" s="195"/>
      <c r="N17" s="178"/>
    </row>
    <row r="18" spans="1:14" ht="18" customHeight="1" thickTop="1">
      <c r="A18" s="195"/>
      <c r="B18" s="2101" t="s">
        <v>529</v>
      </c>
      <c r="C18" s="772" t="str">
        <f>$C10</f>
        <v>תקציב 2015</v>
      </c>
      <c r="D18" s="772" t="str">
        <f>$D10</f>
        <v>ביצוע 2015</v>
      </c>
      <c r="E18" s="772" t="s">
        <v>1085</v>
      </c>
      <c r="F18" s="772" t="str">
        <f>$F10</f>
        <v>ביצוע 2014</v>
      </c>
      <c r="G18" s="773" t="s">
        <v>1085</v>
      </c>
      <c r="H18" s="1875"/>
      <c r="I18" s="2114"/>
      <c r="J18" s="2122"/>
      <c r="K18" s="2123"/>
      <c r="L18" s="645"/>
      <c r="M18" s="195"/>
      <c r="N18" s="178"/>
    </row>
    <row r="19" spans="1:14" ht="13.2">
      <c r="A19" s="195"/>
      <c r="B19" s="2105" t="s">
        <v>1306</v>
      </c>
      <c r="C19" s="1947">
        <f>'נספח 3 לטופס 2'!E26</f>
        <v>159426</v>
      </c>
      <c r="D19" s="2106">
        <f>'נספח 3 לטופס 2'!G26</f>
        <v>154298</v>
      </c>
      <c r="E19" s="2107">
        <f>IF($D$27=0,0,D19/$D$27)</f>
        <v>0.18450783720051467</v>
      </c>
      <c r="F19" s="2106">
        <f>'נספח 3 לטופס 2'!M26</f>
        <v>145674</v>
      </c>
      <c r="G19" s="2108">
        <f>IF($F$27=0,0,F19/$F$27)</f>
        <v>0.18555944630489915</v>
      </c>
      <c r="H19" s="1875"/>
      <c r="I19" s="2102" t="s">
        <v>367</v>
      </c>
      <c r="J19" s="2103">
        <f>J10</f>
        <v>2015</v>
      </c>
      <c r="K19" s="2104">
        <f>K10</f>
        <v>2014</v>
      </c>
      <c r="L19" s="645"/>
      <c r="M19" s="195"/>
      <c r="N19" s="178"/>
    </row>
    <row r="20" spans="1:14" ht="13.2">
      <c r="A20" s="195"/>
      <c r="B20" s="2105" t="s">
        <v>11</v>
      </c>
      <c r="C20" s="1919">
        <f>'נספח 3 לטופס 2'!E27+'נספח 3 לטופס 2'!E28+'נספח 3 לטופס 2'!E38+'נספח 3 לטופס 2'!E37+'נספח 3 לטופס 2'!E41</f>
        <v>276494</v>
      </c>
      <c r="D20" s="1920">
        <f>'נספח 3 לטופס 2'!G27+'נספח 3 לטופס 2'!G28+'נספח 3 לטופס 2'!G37+'נספח 3 לטופס 2'!G38+'נספח 3 לטופס 2'!G41</f>
        <v>297249</v>
      </c>
      <c r="E20" s="2109">
        <f>IF($D$27=0,0,1-(E19+E21+E22+E23+E24+E25+E26))</f>
        <v>0.35544705764180873</v>
      </c>
      <c r="F20" s="1920">
        <f>'נספח 3 לטופס 2'!M27+'נספח 3 לטופס 2'!M28+'נספח 3 לטופס 2'!M37+'נספח 3 לטופס 2'!M38+'נספח 3 לטופס 2'!M41</f>
        <v>268521</v>
      </c>
      <c r="G20" s="2110">
        <f>IF($F$27=0,0,1 - (G19+G21+G22+G23+G24+G25+G26))</f>
        <v>0.34204187487978521</v>
      </c>
      <c r="H20" s="1875"/>
      <c r="I20" s="789" t="s">
        <v>368</v>
      </c>
      <c r="J20" s="1947">
        <f>'טופס 1 פאסיב'!$G$12</f>
        <v>234694</v>
      </c>
      <c r="K20" s="1948">
        <f>'טופס 1 פאסיב'!$I$12</f>
        <v>218448</v>
      </c>
      <c r="L20" s="645"/>
      <c r="M20" s="195"/>
      <c r="N20" s="178"/>
    </row>
    <row r="21" spans="1:14" ht="13.2">
      <c r="A21" s="195"/>
      <c r="B21" s="2105" t="s">
        <v>1125</v>
      </c>
      <c r="C21" s="1919">
        <f>'נספח 3 לטופס 2'!E31</f>
        <v>154130</v>
      </c>
      <c r="D21" s="1920">
        <f>'נספח 3 לטופס 2'!G31</f>
        <v>147277</v>
      </c>
      <c r="E21" s="2109">
        <f t="shared" ref="E21:E26" si="0">IF($D$27=0,0,D21/$D$27)</f>
        <v>0.17611220326498203</v>
      </c>
      <c r="F21" s="1920">
        <f>'נספח 3 לטופס 2'!M31</f>
        <v>139341</v>
      </c>
      <c r="G21" s="2110">
        <f t="shared" ref="G21:G26" si="1">IF($F$27=0,0,F21/$F$27)</f>
        <v>0.17749247503034826</v>
      </c>
      <c r="H21" s="1875"/>
      <c r="I21" s="789" t="str">
        <f>'טופס 1 פאסיב'!B14</f>
        <v>(***)</v>
      </c>
      <c r="J21" s="1947">
        <f>'טופס 1 פאסיב'!$G$14</f>
        <v>0</v>
      </c>
      <c r="K21" s="1948">
        <f>'טופס 1 פאסיב'!$I$14</f>
        <v>0</v>
      </c>
      <c r="L21" s="645"/>
      <c r="M21" s="195"/>
      <c r="N21" s="178"/>
    </row>
    <row r="22" spans="1:14" ht="13.2">
      <c r="A22" s="195"/>
      <c r="B22" s="2105" t="s">
        <v>1126</v>
      </c>
      <c r="C22" s="1919">
        <f>'נספח 3 לטופס 2'!E32</f>
        <v>115202</v>
      </c>
      <c r="D22" s="1920">
        <f>'נספח 3 לטופס 2'!G32</f>
        <v>112702</v>
      </c>
      <c r="E22" s="2109">
        <f t="shared" si="0"/>
        <v>0.13476780170949981</v>
      </c>
      <c r="F22" s="1920">
        <f>'נספח 3 לטופס 2'!M32</f>
        <v>106787</v>
      </c>
      <c r="G22" s="2110">
        <f t="shared" si="1"/>
        <v>0.13602521103670709</v>
      </c>
      <c r="H22" s="1875"/>
      <c r="I22" s="789" t="s">
        <v>1127</v>
      </c>
      <c r="J22" s="1919">
        <f>'טופס 1 פאסיב'!$G$16+'טופס 1 פאסיב'!G21+'טופס 1 פאסיב'!$G$18</f>
        <v>171112</v>
      </c>
      <c r="K22" s="1952">
        <f>'טופס 1 פאסיב'!$I$16+'טופס 1 פאסיב'!$I$21+'טופס 1 פאסיב'!$I$18</f>
        <v>186536</v>
      </c>
      <c r="L22" s="645"/>
      <c r="M22" s="195"/>
      <c r="N22" s="178"/>
    </row>
    <row r="23" spans="1:14" ht="13.2">
      <c r="A23" s="195"/>
      <c r="B23" s="2105" t="s">
        <v>1128</v>
      </c>
      <c r="C23" s="1919">
        <f>'נספח 3 לטופס 2'!E33</f>
        <v>19149</v>
      </c>
      <c r="D23" s="1920">
        <f>'נספח 3 לטופס 2'!G33</f>
        <v>18209</v>
      </c>
      <c r="E23" s="2109">
        <f t="shared" si="0"/>
        <v>2.1774120258099078E-2</v>
      </c>
      <c r="F23" s="1920">
        <f>'נספח 3 לטופס 2'!M33</f>
        <v>16804</v>
      </c>
      <c r="G23" s="2110">
        <f t="shared" si="1"/>
        <v>2.1404924253521737E-2</v>
      </c>
      <c r="H23" s="1875"/>
      <c r="I23" s="789" t="s">
        <v>382</v>
      </c>
      <c r="J23" s="1919">
        <f>'טופס 1 פאסיב'!$G$23+'טופס 1 פאסיב'!$G$24</f>
        <v>180910</v>
      </c>
      <c r="K23" s="1952">
        <f>'טופס 1 פאסיב'!$I$23+'טופס 1 פאסיב'!$I$24</f>
        <v>180745</v>
      </c>
      <c r="L23" s="645"/>
      <c r="M23" s="195"/>
      <c r="N23" s="178"/>
    </row>
    <row r="24" spans="1:14" ht="13.2">
      <c r="A24" s="195"/>
      <c r="B24" s="2105" t="s">
        <v>1129</v>
      </c>
      <c r="C24" s="1919">
        <f>'נספח 3 לטופס 2'!E34</f>
        <v>72314</v>
      </c>
      <c r="D24" s="1920">
        <f>'נספח 3 לטופס 2'!G34</f>
        <v>69270</v>
      </c>
      <c r="E24" s="2109">
        <f t="shared" si="0"/>
        <v>8.2832297780137468E-2</v>
      </c>
      <c r="F24" s="1920">
        <f>'נספח 3 לטופס 2'!M34</f>
        <v>65141</v>
      </c>
      <c r="G24" s="2110">
        <f t="shared" si="1"/>
        <v>8.2976563365785488E-2</v>
      </c>
      <c r="H24" s="1875"/>
      <c r="I24" s="789" t="s">
        <v>1068</v>
      </c>
      <c r="J24" s="1919">
        <f>'טופס 1 פאסיב'!$G$31+'טופס 1 פאסיב'!$G$33</f>
        <v>19442</v>
      </c>
      <c r="K24" s="1952">
        <f>'טופס 1 פאסיב'!$I$31+'טופס 1 פאסיב'!$I$33</f>
        <v>23286</v>
      </c>
      <c r="L24" s="645"/>
      <c r="M24" s="195"/>
      <c r="N24" s="178"/>
    </row>
    <row r="25" spans="1:14" ht="13.5" customHeight="1">
      <c r="A25" s="195"/>
      <c r="B25" s="2105" t="s">
        <v>1086</v>
      </c>
      <c r="C25" s="1919">
        <f>'נספח 3 לטופס 2'!E36</f>
        <v>2910</v>
      </c>
      <c r="D25" s="1920">
        <f>'נספח 3 לטופס 2'!G36</f>
        <v>2630</v>
      </c>
      <c r="E25" s="2109">
        <f t="shared" si="0"/>
        <v>3.1449248327091316E-3</v>
      </c>
      <c r="F25" s="1920">
        <f>'נספח 3 לטופס 2'!M36</f>
        <v>2503</v>
      </c>
      <c r="G25" s="2110">
        <f t="shared" si="1"/>
        <v>3.1883197694932697E-3</v>
      </c>
      <c r="H25" s="1875"/>
      <c r="I25" s="789" t="s">
        <v>1073</v>
      </c>
      <c r="J25" s="1970">
        <f>'טופס 1 פאסיב'!$G$17</f>
        <v>276122</v>
      </c>
      <c r="K25" s="1972">
        <f>'טופס 1 פאסיב'!$I$17</f>
        <v>126658</v>
      </c>
      <c r="L25" s="645"/>
      <c r="M25" s="195"/>
      <c r="N25" s="178"/>
    </row>
    <row r="26" spans="1:14" ht="13.8" thickBot="1">
      <c r="A26" s="195"/>
      <c r="B26" s="2105" t="s">
        <v>1130</v>
      </c>
      <c r="C26" s="1921">
        <f>'נספח 3 לטופס 2'!E35</f>
        <v>36600</v>
      </c>
      <c r="D26" s="1922">
        <f>'נספח 3 לטופס 2'!G35</f>
        <v>34633</v>
      </c>
      <c r="E26" s="2109">
        <f t="shared" si="0"/>
        <v>4.141375731224918E-2</v>
      </c>
      <c r="F26" s="1922">
        <f>'נספח 3 לטופס 2'!M35</f>
        <v>40282</v>
      </c>
      <c r="G26" s="2110">
        <f t="shared" si="1"/>
        <v>5.1311185359459804E-2</v>
      </c>
      <c r="H26" s="1875"/>
      <c r="I26" s="834" t="s">
        <v>782</v>
      </c>
      <c r="J26" s="2115">
        <f>SUM(J20:J25)</f>
        <v>882280</v>
      </c>
      <c r="K26" s="2121">
        <f>SUM(K20:K25)</f>
        <v>735673</v>
      </c>
      <c r="L26" s="645"/>
      <c r="M26" s="195"/>
      <c r="N26" s="178"/>
    </row>
    <row r="27" spans="1:14" ht="13.5" customHeight="1" thickTop="1" thickBot="1">
      <c r="A27" s="195"/>
      <c r="B27" s="2114" t="s">
        <v>782</v>
      </c>
      <c r="C27" s="2115">
        <f>SUM(C19:C26)</f>
        <v>836225</v>
      </c>
      <c r="D27" s="2116">
        <f>SUM(D19:D26)</f>
        <v>836268</v>
      </c>
      <c r="E27" s="2117">
        <f>SUM(E19:E26)</f>
        <v>1</v>
      </c>
      <c r="F27" s="2116">
        <f>SUM(F19:F26)</f>
        <v>785053</v>
      </c>
      <c r="G27" s="2118">
        <f>SUM(G19:G26)</f>
        <v>1</v>
      </c>
      <c r="H27" s="1875"/>
      <c r="I27" s="789"/>
      <c r="J27" s="407"/>
      <c r="K27" s="2124"/>
      <c r="L27" s="645"/>
      <c r="M27" s="195"/>
      <c r="N27" s="178"/>
    </row>
    <row r="28" spans="1:14" ht="13.5" customHeight="1" thickTop="1">
      <c r="A28" s="195"/>
      <c r="B28" s="2105"/>
      <c r="C28" s="407"/>
      <c r="D28" s="2125"/>
      <c r="E28" s="2125"/>
      <c r="F28" s="2125"/>
      <c r="G28" s="2126"/>
      <c r="H28" s="1875"/>
      <c r="I28" s="1944"/>
      <c r="J28" s="2103">
        <f>J10</f>
        <v>2015</v>
      </c>
      <c r="K28" s="2104">
        <f>K10</f>
        <v>2014</v>
      </c>
      <c r="L28" s="645"/>
      <c r="M28" s="195"/>
      <c r="N28" s="178"/>
    </row>
    <row r="29" spans="1:14" ht="18" customHeight="1" thickBot="1">
      <c r="A29" s="195"/>
      <c r="B29" s="2114" t="str">
        <f>'טופס 2'!B61</f>
        <v>עודף בשנת הדוח</v>
      </c>
      <c r="C29" s="1925">
        <f>C16-C27</f>
        <v>0</v>
      </c>
      <c r="D29" s="1926">
        <f>D16-D27</f>
        <v>17517</v>
      </c>
      <c r="E29" s="832"/>
      <c r="F29" s="1928">
        <f>F16-F27</f>
        <v>10642</v>
      </c>
      <c r="G29" s="2126"/>
      <c r="H29" s="1875"/>
      <c r="I29" s="834" t="s">
        <v>1131</v>
      </c>
      <c r="J29" s="2127">
        <f>'נספח 3 לטופס 1'!$I$14</f>
        <v>128428</v>
      </c>
      <c r="K29" s="2128">
        <f>'נספח 3 לטופס 1'!$K$14</f>
        <v>158119</v>
      </c>
      <c r="L29" s="645"/>
      <c r="M29" s="195"/>
      <c r="N29" s="178"/>
    </row>
    <row r="30" spans="1:14" ht="18" customHeight="1" thickTop="1">
      <c r="A30" s="195"/>
      <c r="B30" s="2129"/>
      <c r="C30" s="2130"/>
      <c r="D30" s="2130"/>
      <c r="E30" s="2130"/>
      <c r="F30" s="2130"/>
      <c r="G30" s="797"/>
      <c r="H30" s="1875"/>
      <c r="I30" s="795"/>
      <c r="J30" s="796"/>
      <c r="K30" s="797"/>
      <c r="L30" s="645"/>
      <c r="M30" s="195"/>
      <c r="N30" s="178"/>
    </row>
    <row r="31" spans="1:14" ht="18" customHeight="1">
      <c r="A31" s="195"/>
      <c r="B31" s="645"/>
      <c r="C31" s="645"/>
      <c r="D31" s="645"/>
      <c r="E31" s="645"/>
      <c r="F31" s="645"/>
      <c r="G31" s="645"/>
      <c r="H31" s="645"/>
      <c r="I31" s="645"/>
      <c r="J31" s="645"/>
      <c r="K31" s="645"/>
      <c r="L31" s="645"/>
      <c r="M31" s="195"/>
      <c r="N31" s="178"/>
    </row>
    <row r="32" spans="1:14" ht="18" customHeight="1">
      <c r="A32" s="195"/>
      <c r="B32" s="2131"/>
      <c r="C32" s="2103">
        <f>J10</f>
        <v>2015</v>
      </c>
      <c r="D32" s="2104">
        <f>K10</f>
        <v>2014</v>
      </c>
      <c r="E32" s="645"/>
      <c r="F32" s="645"/>
      <c r="G32" s="645"/>
      <c r="H32" s="645"/>
      <c r="I32" s="3698" t="s">
        <v>1096</v>
      </c>
      <c r="J32" s="3698"/>
      <c r="K32" s="3698"/>
      <c r="L32" s="645"/>
      <c r="M32" s="195"/>
      <c r="N32" s="178"/>
    </row>
    <row r="33" spans="1:14" ht="18" customHeight="1">
      <c r="A33" s="195"/>
      <c r="B33" s="2105" t="s">
        <v>1155</v>
      </c>
      <c r="C33" s="2132">
        <f>IF(OR(D16=0,D29&gt;=0),0,D29/D16*-1)</f>
        <v>0</v>
      </c>
      <c r="D33" s="2133">
        <f>IF(OR(F16=0,F29&gt;=0),0,F29/F16*-1)</f>
        <v>0</v>
      </c>
      <c r="E33" s="645"/>
      <c r="F33" s="645"/>
      <c r="G33" s="645"/>
      <c r="H33" s="645"/>
      <c r="I33" s="1944"/>
      <c r="J33" s="2103">
        <f>J10</f>
        <v>2015</v>
      </c>
      <c r="K33" s="2104">
        <f>K10</f>
        <v>2014</v>
      </c>
      <c r="L33" s="645"/>
      <c r="M33" s="195"/>
      <c r="N33" s="178"/>
    </row>
    <row r="34" spans="1:14" ht="18" customHeight="1">
      <c r="A34" s="195"/>
      <c r="B34" s="2105" t="s">
        <v>1156</v>
      </c>
      <c r="C34" s="2134">
        <f>IF(D16&gt;0,((J14+J15)/D16),0)</f>
        <v>0</v>
      </c>
      <c r="D34" s="2135">
        <f>IF(F16&gt;0,((K14+K15)/F16),0)</f>
        <v>0</v>
      </c>
      <c r="E34" s="645"/>
      <c r="F34" s="645"/>
      <c r="G34" s="645"/>
      <c r="H34" s="645"/>
      <c r="I34" s="789" t="s">
        <v>1098</v>
      </c>
      <c r="J34" s="1947">
        <f>'ספר לבן'!C80</f>
        <v>150029</v>
      </c>
      <c r="K34" s="1948">
        <f>'ספר לבן'!D80</f>
        <v>134943</v>
      </c>
      <c r="L34" s="645"/>
      <c r="M34" s="195"/>
      <c r="N34" s="178"/>
    </row>
    <row r="35" spans="1:14" ht="18" customHeight="1">
      <c r="A35" s="195"/>
      <c r="B35" s="2105" t="s">
        <v>1157</v>
      </c>
      <c r="C35" s="2134">
        <f>IF(D16&gt;0,('נספח 3 לטופס 1'!I14/D16),0)</f>
        <v>0.1504219446347734</v>
      </c>
      <c r="D35" s="2135">
        <f>IF(F16&gt;0,('נספח 3 לטופס 1'!K14/F16),0)</f>
        <v>0.19871810178523178</v>
      </c>
      <c r="E35" s="645"/>
      <c r="F35" s="645"/>
      <c r="G35" s="645"/>
      <c r="H35" s="645"/>
      <c r="I35" s="789" t="s">
        <v>1099</v>
      </c>
      <c r="J35" s="1919">
        <f>'ספר לבן'!C81</f>
        <v>545483.79</v>
      </c>
      <c r="K35" s="1952">
        <f>'ספר לבן'!D81</f>
        <v>519591</v>
      </c>
      <c r="L35" s="645"/>
      <c r="M35" s="195"/>
      <c r="N35" s="178"/>
    </row>
    <row r="36" spans="1:14" ht="18" customHeight="1">
      <c r="A36" s="195"/>
      <c r="B36" s="2105" t="s">
        <v>1158</v>
      </c>
      <c r="C36" s="2134">
        <f>IF(D16&gt;0,(J20/D16),0)</f>
        <v>0.27488653466622159</v>
      </c>
      <c r="D36" s="2135">
        <f>IF(F16=0,0,K20/F16)</f>
        <v>0.27453735413694946</v>
      </c>
      <c r="E36" s="645"/>
      <c r="F36" s="645"/>
      <c r="G36" s="645"/>
      <c r="H36" s="645"/>
      <c r="I36" s="789" t="s">
        <v>1159</v>
      </c>
      <c r="J36" s="1919">
        <f>'ספר לבן'!C82</f>
        <v>-47195</v>
      </c>
      <c r="K36" s="1952">
        <f>'ספר לבן'!D82</f>
        <v>-46221</v>
      </c>
      <c r="L36" s="645"/>
      <c r="M36" s="195"/>
      <c r="N36" s="178"/>
    </row>
    <row r="37" spans="1:14" ht="18" customHeight="1">
      <c r="A37" s="195"/>
      <c r="B37" s="2105" t="s">
        <v>1160</v>
      </c>
      <c r="C37" s="1919">
        <f>IF(C6&gt;0,(D27/C6)*1000,0)</f>
        <v>8147.4250306891918</v>
      </c>
      <c r="D37" s="1952">
        <f>IF(C5&gt;0,(F27/C5)*1000,0)</f>
        <v>7749.6298197468959</v>
      </c>
      <c r="E37" s="645"/>
      <c r="F37" s="645"/>
      <c r="G37" s="645"/>
      <c r="H37" s="645"/>
      <c r="I37" s="2111" t="s">
        <v>100</v>
      </c>
      <c r="J37" s="1919">
        <f>'ספר לבן'!C83</f>
        <v>-4240</v>
      </c>
      <c r="K37" s="1952">
        <f>'ספר לבן'!D83</f>
        <v>-4451</v>
      </c>
      <c r="L37" s="645"/>
      <c r="M37" s="195"/>
      <c r="N37" s="178"/>
    </row>
    <row r="38" spans="1:14" ht="18" customHeight="1">
      <c r="A38" s="195"/>
      <c r="B38" s="2105" t="s">
        <v>1161</v>
      </c>
      <c r="C38" s="1970">
        <f>'נספח 4 לטופס 2 חלק א'!$G$36</f>
        <v>1939.3100000000002</v>
      </c>
      <c r="D38" s="1972">
        <f>'נספח 4 לטופס 2 חלק א'!$M$36</f>
        <v>1844</v>
      </c>
      <c r="E38" s="645"/>
      <c r="F38" s="645"/>
      <c r="G38" s="645"/>
      <c r="H38" s="645"/>
      <c r="I38" s="789" t="s">
        <v>1101</v>
      </c>
      <c r="J38" s="1919">
        <f>J34+J35+J36+J37</f>
        <v>644077.79</v>
      </c>
      <c r="K38" s="1952">
        <f>K34+K35+K36+K37</f>
        <v>603862</v>
      </c>
      <c r="L38" s="645"/>
      <c r="M38" s="195"/>
      <c r="N38" s="178"/>
    </row>
    <row r="39" spans="1:14" ht="18" customHeight="1">
      <c r="A39" s="195"/>
      <c r="B39" s="2129"/>
      <c r="C39" s="796"/>
      <c r="D39" s="797"/>
      <c r="E39" s="645"/>
      <c r="F39" s="645"/>
      <c r="G39" s="645"/>
      <c r="H39" s="645"/>
      <c r="I39" s="789" t="s">
        <v>1102</v>
      </c>
      <c r="J39" s="1919">
        <f>'ספר לבן'!C85</f>
        <v>491977</v>
      </c>
      <c r="K39" s="1952">
        <f>'ספר לבן'!D85</f>
        <v>453833</v>
      </c>
      <c r="L39" s="645"/>
      <c r="M39" s="195"/>
      <c r="N39" s="178"/>
    </row>
    <row r="40" spans="1:14" ht="18" customHeight="1">
      <c r="A40" s="195"/>
      <c r="B40" s="645"/>
      <c r="C40" s="645"/>
      <c r="D40" s="645"/>
      <c r="E40" s="645"/>
      <c r="F40" s="645"/>
      <c r="G40" s="645"/>
      <c r="H40" s="645"/>
      <c r="I40" s="834" t="s">
        <v>1103</v>
      </c>
      <c r="J40" s="3168">
        <f>J38-J39</f>
        <v>152100.79000000004</v>
      </c>
      <c r="K40" s="3169">
        <f>K38-K39</f>
        <v>150029</v>
      </c>
      <c r="L40" s="645"/>
      <c r="M40" s="195"/>
      <c r="N40" s="178"/>
    </row>
    <row r="41" spans="1:14" ht="18" customHeight="1">
      <c r="A41" s="274"/>
      <c r="B41" s="3697" t="s">
        <v>1162</v>
      </c>
      <c r="C41" s="3697"/>
      <c r="D41" s="3697"/>
      <c r="E41" s="653"/>
      <c r="F41" s="645"/>
      <c r="G41" s="645"/>
      <c r="H41" s="645"/>
      <c r="I41" s="3162" t="s">
        <v>1289</v>
      </c>
      <c r="J41" s="1919">
        <f>'ספר לבן'!C88</f>
        <v>142368</v>
      </c>
      <c r="K41" s="1952">
        <f>'ספר לבן'!D88</f>
        <v>149850</v>
      </c>
      <c r="L41" s="645"/>
      <c r="M41" s="195"/>
      <c r="N41" s="178"/>
    </row>
    <row r="42" spans="1:14" ht="18" customHeight="1" thickBot="1">
      <c r="A42" s="195"/>
      <c r="B42" s="2131"/>
      <c r="C42" s="2103">
        <f>J10</f>
        <v>2015</v>
      </c>
      <c r="D42" s="2104">
        <f>K10</f>
        <v>2014</v>
      </c>
      <c r="E42" s="645"/>
      <c r="F42" s="645"/>
      <c r="G42" s="645"/>
      <c r="H42" s="645"/>
      <c r="I42" s="1016" t="s">
        <v>1590</v>
      </c>
      <c r="J42" s="790">
        <f>J40+J41</f>
        <v>294468.79000000004</v>
      </c>
      <c r="K42" s="792">
        <f>K40+K41</f>
        <v>299879</v>
      </c>
      <c r="L42" s="645"/>
      <c r="M42" s="195"/>
      <c r="N42" s="178"/>
    </row>
    <row r="43" spans="1:14" ht="18" customHeight="1" thickTop="1">
      <c r="A43" s="195"/>
      <c r="B43" s="2105" t="s">
        <v>1163</v>
      </c>
      <c r="C43" s="1947">
        <f>'טופס 3'!$G$34</f>
        <v>126658</v>
      </c>
      <c r="D43" s="1948">
        <f>'טופס 3'!$I$34</f>
        <v>112515</v>
      </c>
      <c r="E43" s="645"/>
      <c r="F43" s="645"/>
      <c r="G43" s="645"/>
      <c r="H43" s="645"/>
      <c r="I43" s="3162" t="s">
        <v>1587</v>
      </c>
      <c r="J43" s="2136">
        <f>'נספח 2 לטופס 1 - פירוט ד'!$D$36</f>
        <v>0.36380420529347679</v>
      </c>
      <c r="K43" s="2137">
        <f>'נספח 2 לטופס 1 - פירוט ד'!$F$36</f>
        <v>0.34899248072031008</v>
      </c>
      <c r="L43" s="645"/>
      <c r="M43" s="195"/>
      <c r="N43" s="178"/>
    </row>
    <row r="44" spans="1:14" ht="18" customHeight="1">
      <c r="A44" s="195"/>
      <c r="B44" s="2105" t="s">
        <v>1165</v>
      </c>
      <c r="C44" s="1919">
        <f>'טופס 3'!$G$18</f>
        <v>321430</v>
      </c>
      <c r="D44" s="1952">
        <f>'טופס 3'!$I$18</f>
        <v>254652</v>
      </c>
      <c r="E44" s="645"/>
      <c r="F44" s="645"/>
      <c r="G44" s="645"/>
      <c r="H44" s="645"/>
      <c r="I44" s="3162" t="s">
        <v>1588</v>
      </c>
      <c r="J44" s="2136">
        <f>'נספח 2 לטופס 1 - פירוט ד'!$D$37</f>
        <v>0.88878694087196808</v>
      </c>
      <c r="K44" s="2137">
        <f>'נספח 2 לטופס 1 - פירוט ד'!$F$37</f>
        <v>0.85622296551479504</v>
      </c>
      <c r="L44" s="645"/>
      <c r="M44" s="195"/>
      <c r="N44" s="178"/>
    </row>
    <row r="45" spans="1:14" ht="18" customHeight="1">
      <c r="A45" s="195"/>
      <c r="B45" s="2105" t="s">
        <v>1166</v>
      </c>
      <c r="C45" s="1919">
        <f>'טופס 3'!$G$27</f>
        <v>171966</v>
      </c>
      <c r="D45" s="1952">
        <f>'טופס 3'!$I$27</f>
        <v>240509</v>
      </c>
      <c r="E45" s="2138"/>
      <c r="F45" s="645"/>
      <c r="G45" s="645"/>
      <c r="H45" s="645"/>
      <c r="I45" s="3162" t="s">
        <v>1589</v>
      </c>
      <c r="J45" s="2136">
        <f>'נספח 2 לטופס 1 - פירוט ד'!$D$38</f>
        <v>0.76384717442282857</v>
      </c>
      <c r="K45" s="2137">
        <f>'נספח 2 לטופס 1 - פירוט ד'!$F$38</f>
        <v>0.75155085102225339</v>
      </c>
      <c r="L45" s="645"/>
      <c r="M45" s="195"/>
      <c r="N45" s="178"/>
    </row>
    <row r="46" spans="1:14" ht="18" customHeight="1">
      <c r="A46" s="195"/>
      <c r="B46" s="2105" t="s">
        <v>1167</v>
      </c>
      <c r="C46" s="1970">
        <f>C43+C44-C45</f>
        <v>276122</v>
      </c>
      <c r="D46" s="1972">
        <f>D43+D44-D45</f>
        <v>126658</v>
      </c>
      <c r="E46" s="645"/>
      <c r="F46" s="645"/>
      <c r="G46" s="645"/>
      <c r="H46" s="645"/>
      <c r="I46" s="795" t="s">
        <v>1164</v>
      </c>
      <c r="J46" s="3018">
        <f>IF('נתונים לנספח 2 לטופס 1'!$D$26=0,0,('נתונים לנספח 2 לטופס 1'!$D$27/'נתונים לנספח 2 לטופס 1'!$D$26)*1000)</f>
        <v>58.563790362414878</v>
      </c>
      <c r="K46" s="3019">
        <f>IF('נתונים לנספח 2 לטופס 1'!$E$26=0,0,('נתונים לנספח 2 לטופס 1'!$E$27/'נתונים לנספח 2 לטופס 1'!$E$26)*1000)</f>
        <v>57.975362715576239</v>
      </c>
      <c r="L46" s="645"/>
      <c r="M46" s="195"/>
      <c r="N46" s="178"/>
    </row>
    <row r="47" spans="1:14" ht="18" customHeight="1">
      <c r="A47" s="195"/>
      <c r="B47" s="1930"/>
      <c r="C47" s="2139"/>
      <c r="D47" s="269"/>
      <c r="E47" s="195"/>
      <c r="F47" s="2013"/>
      <c r="G47" s="3131"/>
      <c r="H47" s="3131"/>
      <c r="I47" s="3163" t="s">
        <v>1591</v>
      </c>
      <c r="J47" s="3131"/>
      <c r="K47" s="195"/>
      <c r="L47" s="195"/>
      <c r="M47" s="195"/>
      <c r="N47" s="178"/>
    </row>
    <row r="48" spans="1:14" ht="18" customHeight="1">
      <c r="A48" s="195"/>
      <c r="B48" s="2140" t="str">
        <f>CONCATENATE("*נכון ל",'נתונים משותפים'!E36)</f>
        <v>*נכון לחודש אוקטובר 2015</v>
      </c>
      <c r="C48" s="195"/>
      <c r="D48" s="195"/>
      <c r="E48" s="195"/>
      <c r="F48" s="3668" t="str">
        <f>'נתונים כלליים'!$B$8</f>
        <v>הרשות הינה רשות איתנה ותקציבה אינו טעון אישור משרד הפנים</v>
      </c>
      <c r="G48" s="3668"/>
      <c r="H48" s="3668"/>
      <c r="I48" s="3668"/>
      <c r="J48" s="195"/>
      <c r="K48" s="195"/>
      <c r="L48" s="195"/>
      <c r="M48" s="195"/>
      <c r="N48" s="178"/>
    </row>
    <row r="49" spans="1:14" s="3164" customFormat="1" ht="18" customHeight="1">
      <c r="A49" s="3161"/>
      <c r="B49" s="2140"/>
      <c r="C49" s="3161"/>
      <c r="D49" s="3161"/>
      <c r="E49" s="3161"/>
      <c r="F49" s="3163" t="str">
        <f>'נתונים כלליים'!$B$14</f>
        <v xml:space="preserve"> </v>
      </c>
      <c r="G49" s="3131"/>
      <c r="H49" s="3131"/>
      <c r="I49" s="3131"/>
      <c r="J49" s="3161"/>
      <c r="K49" s="3161"/>
      <c r="L49" s="3161"/>
      <c r="M49" s="3161"/>
      <c r="N49" s="178"/>
    </row>
    <row r="50" spans="1:14" ht="18" customHeight="1" thickBot="1">
      <c r="A50" s="195"/>
      <c r="B50" s="880"/>
      <c r="C50" s="195"/>
      <c r="D50" s="195"/>
      <c r="E50" s="195"/>
      <c r="F50" s="195"/>
      <c r="G50" s="195"/>
      <c r="H50" s="195"/>
      <c r="I50" s="195"/>
      <c r="J50" s="195"/>
      <c r="K50" s="195"/>
      <c r="L50" s="195"/>
      <c r="M50" s="195"/>
      <c r="N50" s="178"/>
    </row>
    <row r="51" spans="1:14" ht="18" customHeight="1" thickTop="1">
      <c r="A51" s="286"/>
      <c r="B51" s="882"/>
      <c r="C51" s="286"/>
      <c r="D51" s="286"/>
      <c r="E51" s="286"/>
      <c r="F51" s="286"/>
      <c r="G51" s="286"/>
      <c r="H51" s="286"/>
      <c r="I51" s="286"/>
      <c r="J51" s="286"/>
      <c r="K51" s="286"/>
      <c r="L51" s="286"/>
      <c r="M51" s="286"/>
    </row>
    <row r="194" spans="2:11" ht="18" customHeight="1">
      <c r="B194" s="3704" t="str">
        <f>E1</f>
        <v>עירית הרצליה</v>
      </c>
      <c r="C194" s="3705"/>
      <c r="D194" s="3705"/>
      <c r="E194" s="3705"/>
      <c r="F194" s="3705"/>
      <c r="G194" s="3705"/>
      <c r="H194" s="3705"/>
      <c r="I194" s="3705"/>
      <c r="J194" s="3705"/>
      <c r="K194" s="3705"/>
    </row>
    <row r="195" spans="2:11" ht="18" customHeight="1">
      <c r="B195" s="3704" t="str">
        <f>E2</f>
        <v>תמצית הדוחות הכספיים לשנת 2015</v>
      </c>
      <c r="C195" s="3705"/>
      <c r="D195" s="3705"/>
      <c r="E195" s="3705"/>
      <c r="F195" s="3705"/>
      <c r="G195" s="3705"/>
      <c r="H195" s="3705"/>
      <c r="I195" s="3705"/>
      <c r="J195" s="3705"/>
      <c r="K195" s="3705"/>
    </row>
    <row r="196" spans="2:11" ht="18" customHeight="1">
      <c r="B196" s="3705" t="str">
        <f>E3</f>
        <v>(באלפי ש"ח)</v>
      </c>
      <c r="C196" s="3705"/>
      <c r="D196" s="3705"/>
      <c r="E196" s="3705"/>
      <c r="F196" s="3705"/>
      <c r="G196" s="3705"/>
      <c r="H196" s="3705"/>
      <c r="I196" s="3705"/>
      <c r="J196" s="3705"/>
      <c r="K196" s="3705"/>
    </row>
    <row r="200" spans="2:11" ht="18" customHeight="1">
      <c r="B200" s="2141" t="str">
        <f t="shared" ref="B200:C203" si="2">B5</f>
        <v>מספר תושבים שנה קודמת</v>
      </c>
      <c r="C200" s="3692">
        <f t="shared" si="2"/>
        <v>101302</v>
      </c>
      <c r="D200" s="3692"/>
      <c r="E200" s="2142">
        <f t="shared" ref="E200:K200" si="3">E5</f>
        <v>0</v>
      </c>
      <c r="F200" s="2142">
        <f t="shared" si="3"/>
        <v>0</v>
      </c>
      <c r="G200" s="2142">
        <f t="shared" si="3"/>
        <v>0</v>
      </c>
      <c r="H200" s="2142">
        <f t="shared" si="3"/>
        <v>0</v>
      </c>
      <c r="I200" s="2143">
        <f t="shared" si="3"/>
        <v>0</v>
      </c>
      <c r="J200" s="2143">
        <f t="shared" si="3"/>
        <v>0</v>
      </c>
      <c r="K200" s="2143">
        <f t="shared" si="3"/>
        <v>0</v>
      </c>
    </row>
    <row r="201" spans="2:11" ht="18" customHeight="1">
      <c r="B201" s="2141" t="str">
        <f t="shared" si="2"/>
        <v>מספר תושבים *</v>
      </c>
      <c r="C201" s="3692">
        <f t="shared" si="2"/>
        <v>102642</v>
      </c>
      <c r="D201" s="3692"/>
      <c r="E201" s="3707" t="str">
        <f>E6</f>
        <v>שטח שיפוט (דונם)</v>
      </c>
      <c r="F201" s="3707"/>
      <c r="G201" s="3692">
        <f>G6</f>
        <v>23000</v>
      </c>
      <c r="H201" s="3692"/>
      <c r="I201" s="2143">
        <f t="shared" ref="I201:K203" si="4">I6</f>
        <v>0</v>
      </c>
      <c r="J201" s="2143">
        <f t="shared" si="4"/>
        <v>0</v>
      </c>
      <c r="K201" s="2143">
        <f t="shared" si="4"/>
        <v>0</v>
      </c>
    </row>
    <row r="202" spans="2:11" ht="18" customHeight="1">
      <c r="B202" s="2141" t="str">
        <f t="shared" si="2"/>
        <v xml:space="preserve">מספר משקי בית </v>
      </c>
      <c r="C202" s="3692">
        <f t="shared" si="2"/>
        <v>34384</v>
      </c>
      <c r="D202" s="3692"/>
      <c r="E202" s="3707" t="str">
        <f>E7</f>
        <v xml:space="preserve">דירוג סוציואקונומי </v>
      </c>
      <c r="F202" s="3707"/>
      <c r="G202" s="3709">
        <f>G7</f>
        <v>8</v>
      </c>
      <c r="H202" s="3709"/>
      <c r="I202" s="2143">
        <f t="shared" si="4"/>
        <v>0</v>
      </c>
      <c r="J202" s="2143">
        <f t="shared" si="4"/>
        <v>0</v>
      </c>
      <c r="K202" s="2143">
        <f t="shared" si="4"/>
        <v>0</v>
      </c>
    </row>
    <row r="203" spans="2:11" ht="18" customHeight="1">
      <c r="B203" s="2143">
        <f t="shared" si="2"/>
        <v>0</v>
      </c>
      <c r="C203" s="2145">
        <f t="shared" si="2"/>
        <v>0</v>
      </c>
      <c r="D203" s="2145">
        <f>D8</f>
        <v>0</v>
      </c>
      <c r="E203" s="2145">
        <f>E8</f>
        <v>0</v>
      </c>
      <c r="F203" s="2145">
        <f>F8</f>
        <v>0</v>
      </c>
      <c r="G203" s="2145">
        <f>G8</f>
        <v>0</v>
      </c>
      <c r="H203" s="2145">
        <f t="shared" ref="H203:H235" si="5">H8</f>
        <v>0</v>
      </c>
      <c r="I203" s="2143">
        <f t="shared" si="4"/>
        <v>0</v>
      </c>
      <c r="J203" s="2143">
        <f t="shared" si="4"/>
        <v>0</v>
      </c>
      <c r="K203" s="2143">
        <f t="shared" si="4"/>
        <v>0</v>
      </c>
    </row>
    <row r="204" spans="2:11" ht="26.25" customHeight="1">
      <c r="B204" s="3693" t="str">
        <f>B9</f>
        <v>נתוני ביצוע התקציב הרגיל</v>
      </c>
      <c r="C204" s="3693"/>
      <c r="D204" s="3693"/>
      <c r="E204" s="3693"/>
      <c r="F204" s="3693"/>
      <c r="G204" s="3693"/>
      <c r="H204" s="2146">
        <f t="shared" si="5"/>
        <v>0</v>
      </c>
      <c r="I204" s="3706" t="str">
        <f>I9</f>
        <v>מאזן</v>
      </c>
      <c r="J204" s="3706"/>
      <c r="K204" s="3706"/>
    </row>
    <row r="205" spans="2:11" ht="18" customHeight="1">
      <c r="B205" s="2147" t="str">
        <f>B10</f>
        <v>הכנסות</v>
      </c>
      <c r="C205" s="2148" t="str">
        <f t="shared" ref="C205:G214" si="6">C10</f>
        <v>תקציב 2015</v>
      </c>
      <c r="D205" s="2148" t="str">
        <f t="shared" si="6"/>
        <v>ביצוע 2015</v>
      </c>
      <c r="E205" s="2148" t="str">
        <f t="shared" si="6"/>
        <v>%</v>
      </c>
      <c r="F205" s="2148" t="str">
        <f t="shared" si="6"/>
        <v>ביצוע 2014</v>
      </c>
      <c r="G205" s="2149" t="str">
        <f t="shared" si="6"/>
        <v>%</v>
      </c>
      <c r="H205" s="2146">
        <f t="shared" si="5"/>
        <v>0</v>
      </c>
      <c r="I205" s="2150" t="str">
        <f>I10</f>
        <v>נכסים</v>
      </c>
      <c r="J205" s="2151">
        <f t="shared" ref="J205:K226" si="7">J10</f>
        <v>2015</v>
      </c>
      <c r="K205" s="2152">
        <f t="shared" si="7"/>
        <v>2014</v>
      </c>
    </row>
    <row r="206" spans="2:11" ht="18" customHeight="1">
      <c r="B206" s="2153" t="str">
        <f t="shared" ref="B206:B211" si="8">IF(AND($C11=0,$D11=0,$E11=0,$F11=0,$G11=0),"",$B11)</f>
        <v xml:space="preserve">הכנסות עצמיות </v>
      </c>
      <c r="C206" s="2154">
        <f t="shared" si="6"/>
        <v>642311</v>
      </c>
      <c r="D206" s="2154">
        <f t="shared" si="6"/>
        <v>662635</v>
      </c>
      <c r="E206" s="2155">
        <f t="shared" si="6"/>
        <v>0.7761145955949097</v>
      </c>
      <c r="F206" s="2154">
        <f t="shared" si="6"/>
        <v>613719</v>
      </c>
      <c r="G206" s="2156">
        <f t="shared" si="6"/>
        <v>0.77129930438170402</v>
      </c>
      <c r="H206" s="2146">
        <f t="shared" si="5"/>
        <v>0</v>
      </c>
      <c r="I206" s="2157" t="str">
        <f t="shared" ref="I206:I213" si="9">IF(AND($J11=0,$K11=0),"",$I11)</f>
        <v>רכוש שוטף</v>
      </c>
      <c r="J206" s="2154">
        <f t="shared" si="7"/>
        <v>254202</v>
      </c>
      <c r="K206" s="2158">
        <f t="shared" si="7"/>
        <v>241810</v>
      </c>
    </row>
    <row r="207" spans="2:11" ht="18" customHeight="1">
      <c r="B207" s="2153" t="str">
        <f t="shared" si="8"/>
        <v>השתת' משרד החינוך</v>
      </c>
      <c r="C207" s="2144">
        <f t="shared" si="6"/>
        <v>136736</v>
      </c>
      <c r="D207" s="2144">
        <f t="shared" si="6"/>
        <v>135863</v>
      </c>
      <c r="E207" s="2159">
        <f t="shared" si="6"/>
        <v>0.1591302259936635</v>
      </c>
      <c r="F207" s="2144">
        <f t="shared" si="6"/>
        <v>130249</v>
      </c>
      <c r="G207" s="2160">
        <f t="shared" si="6"/>
        <v>0.16369211821112362</v>
      </c>
      <c r="H207" s="2146">
        <f t="shared" si="5"/>
        <v>0</v>
      </c>
      <c r="I207" s="2157" t="str">
        <f t="shared" si="9"/>
        <v>השקעות</v>
      </c>
      <c r="J207" s="2144">
        <f t="shared" si="7"/>
        <v>447168</v>
      </c>
      <c r="K207" s="2161">
        <f t="shared" si="7"/>
        <v>313118</v>
      </c>
    </row>
    <row r="208" spans="2:11" ht="18" customHeight="1">
      <c r="B208" s="2153" t="str">
        <f t="shared" si="8"/>
        <v xml:space="preserve">השתת' משרד הרווחה </v>
      </c>
      <c r="C208" s="2144">
        <f t="shared" si="6"/>
        <v>52388</v>
      </c>
      <c r="D208" s="2144">
        <f t="shared" si="6"/>
        <v>51067</v>
      </c>
      <c r="E208" s="2159">
        <f t="shared" si="6"/>
        <v>5.9812482065156922E-2</v>
      </c>
      <c r="F208" s="2144">
        <f t="shared" si="6"/>
        <v>47943</v>
      </c>
      <c r="G208" s="2160">
        <f t="shared" si="6"/>
        <v>6.0252986382973377E-2</v>
      </c>
      <c r="H208" s="2146">
        <f t="shared" si="5"/>
        <v>0</v>
      </c>
      <c r="I208" s="2162" t="str">
        <f t="shared" si="9"/>
        <v>השקעות לכיסוי קרנות מתוקצבות ואחרות</v>
      </c>
      <c r="J208" s="2144">
        <f t="shared" si="7"/>
        <v>180910</v>
      </c>
      <c r="K208" s="2161">
        <f t="shared" si="7"/>
        <v>180745</v>
      </c>
    </row>
    <row r="209" spans="2:11" ht="18" customHeight="1">
      <c r="B209" s="2153" t="str">
        <f t="shared" si="8"/>
        <v>השתת' משרדי ממשלה אחרים</v>
      </c>
      <c r="C209" s="2144">
        <f t="shared" si="6"/>
        <v>3304</v>
      </c>
      <c r="D209" s="2144">
        <f t="shared" si="6"/>
        <v>2896</v>
      </c>
      <c r="E209" s="2159">
        <f t="shared" si="6"/>
        <v>3.3919546490043251E-3</v>
      </c>
      <c r="F209" s="2144">
        <f t="shared" si="6"/>
        <v>3457</v>
      </c>
      <c r="G209" s="2160">
        <f t="shared" si="6"/>
        <v>4.3446295376997623E-3</v>
      </c>
      <c r="H209" s="2146">
        <f t="shared" si="5"/>
        <v>0</v>
      </c>
      <c r="I209" s="2157" t="str">
        <f t="shared" si="9"/>
        <v/>
      </c>
      <c r="J209" s="2144">
        <f t="shared" si="7"/>
        <v>0</v>
      </c>
      <c r="K209" s="2161">
        <f t="shared" si="7"/>
        <v>0</v>
      </c>
    </row>
    <row r="210" spans="2:11" ht="18" customHeight="1">
      <c r="B210" s="2153" t="str">
        <f t="shared" si="8"/>
        <v>מענקים ומלוות</v>
      </c>
      <c r="C210" s="2163">
        <f t="shared" si="6"/>
        <v>1486</v>
      </c>
      <c r="D210" s="2163">
        <f t="shared" si="6"/>
        <v>1324</v>
      </c>
      <c r="E210" s="2164">
        <f t="shared" si="6"/>
        <v>1.550741697265705E-3</v>
      </c>
      <c r="F210" s="2163">
        <f t="shared" si="6"/>
        <v>327</v>
      </c>
      <c r="G210" s="2165">
        <f t="shared" si="6"/>
        <v>4.1096148649922393E-4</v>
      </c>
      <c r="H210" s="2146">
        <f t="shared" si="5"/>
        <v>0</v>
      </c>
      <c r="I210" s="2157" t="str">
        <f t="shared" si="9"/>
        <v/>
      </c>
      <c r="J210" s="2144">
        <f t="shared" si="7"/>
        <v>0</v>
      </c>
      <c r="K210" s="2161">
        <f t="shared" si="7"/>
        <v>0</v>
      </c>
    </row>
    <row r="211" spans="2:11" ht="18" customHeight="1" thickBot="1">
      <c r="B211" s="2153" t="str">
        <f t="shared" si="8"/>
        <v>סה"כ</v>
      </c>
      <c r="C211" s="2166">
        <f t="shared" si="6"/>
        <v>836225</v>
      </c>
      <c r="D211" s="2166">
        <f t="shared" si="6"/>
        <v>853785</v>
      </c>
      <c r="E211" s="2167">
        <f t="shared" si="6"/>
        <v>1</v>
      </c>
      <c r="F211" s="2166">
        <f t="shared" si="6"/>
        <v>795695</v>
      </c>
      <c r="G211" s="2168">
        <f t="shared" si="6"/>
        <v>1</v>
      </c>
      <c r="H211" s="2146">
        <f t="shared" si="5"/>
        <v>0</v>
      </c>
      <c r="I211" s="2157" t="str">
        <f t="shared" si="9"/>
        <v/>
      </c>
      <c r="J211" s="2144">
        <f t="shared" si="7"/>
        <v>0</v>
      </c>
      <c r="K211" s="2161">
        <f t="shared" si="7"/>
        <v>0</v>
      </c>
    </row>
    <row r="212" spans="2:11" ht="17.25" customHeight="1" thickTop="1" thickBot="1">
      <c r="B212" s="2157">
        <f>B17</f>
        <v>0</v>
      </c>
      <c r="C212" s="2169">
        <f t="shared" si="6"/>
        <v>0</v>
      </c>
      <c r="D212" s="2169">
        <f t="shared" si="6"/>
        <v>0</v>
      </c>
      <c r="E212" s="2169">
        <f t="shared" si="6"/>
        <v>0</v>
      </c>
      <c r="F212" s="2169">
        <f t="shared" si="6"/>
        <v>0</v>
      </c>
      <c r="G212" s="2170">
        <f t="shared" si="6"/>
        <v>0</v>
      </c>
      <c r="H212" s="2146">
        <f t="shared" si="5"/>
        <v>0</v>
      </c>
      <c r="I212" s="2157" t="str">
        <f t="shared" si="9"/>
        <v>סה"כ</v>
      </c>
      <c r="J212" s="2166">
        <f t="shared" si="7"/>
        <v>882280</v>
      </c>
      <c r="K212" s="2171">
        <f t="shared" si="7"/>
        <v>735673</v>
      </c>
    </row>
    <row r="213" spans="2:11" ht="18" customHeight="1" thickTop="1">
      <c r="B213" s="2147" t="str">
        <f>B18</f>
        <v>הוצאות</v>
      </c>
      <c r="C213" s="2148" t="str">
        <f t="shared" si="6"/>
        <v>תקציב 2015</v>
      </c>
      <c r="D213" s="2148" t="str">
        <f t="shared" si="6"/>
        <v>ביצוע 2015</v>
      </c>
      <c r="E213" s="2148" t="str">
        <f t="shared" si="6"/>
        <v>%</v>
      </c>
      <c r="F213" s="2148" t="str">
        <f t="shared" si="6"/>
        <v>ביצוע 2014</v>
      </c>
      <c r="G213" s="2149" t="str">
        <f t="shared" si="6"/>
        <v>%</v>
      </c>
      <c r="H213" s="2146">
        <f t="shared" si="5"/>
        <v>0</v>
      </c>
      <c r="I213" s="2157" t="str">
        <f t="shared" si="9"/>
        <v/>
      </c>
      <c r="J213" s="2172">
        <f t="shared" si="7"/>
        <v>0</v>
      </c>
      <c r="K213" s="2173">
        <f t="shared" si="7"/>
        <v>0</v>
      </c>
    </row>
    <row r="214" spans="2:11" ht="18" customHeight="1">
      <c r="B214" s="2153" t="str">
        <f t="shared" ref="B214:B222" si="10">IF(AND($C19=0,$D19=0,$E19=0,$F19=0,$G19=0),"",$B19)</f>
        <v>משכורות ושכר כללי</v>
      </c>
      <c r="C214" s="2154">
        <f t="shared" si="6"/>
        <v>159426</v>
      </c>
      <c r="D214" s="2154">
        <f t="shared" si="6"/>
        <v>154298</v>
      </c>
      <c r="E214" s="2174">
        <f t="shared" si="6"/>
        <v>0.18450783720051467</v>
      </c>
      <c r="F214" s="2154">
        <f t="shared" si="6"/>
        <v>145674</v>
      </c>
      <c r="G214" s="2175">
        <f t="shared" si="6"/>
        <v>0.18555944630489915</v>
      </c>
      <c r="H214" s="2146">
        <f t="shared" si="5"/>
        <v>0</v>
      </c>
      <c r="I214" s="2150" t="str">
        <f>I19</f>
        <v>התחייבויות</v>
      </c>
      <c r="J214" s="2151">
        <f t="shared" si="7"/>
        <v>2015</v>
      </c>
      <c r="K214" s="2152">
        <f t="shared" si="7"/>
        <v>2014</v>
      </c>
    </row>
    <row r="215" spans="2:11" ht="18" customHeight="1">
      <c r="B215" s="2153" t="str">
        <f t="shared" si="10"/>
        <v>פעולות אחרות</v>
      </c>
      <c r="C215" s="2144">
        <f t="shared" ref="C215:G224" si="11">C20</f>
        <v>276494</v>
      </c>
      <c r="D215" s="2144">
        <f t="shared" si="11"/>
        <v>297249</v>
      </c>
      <c r="E215" s="2159">
        <f t="shared" si="11"/>
        <v>0.35544705764180873</v>
      </c>
      <c r="F215" s="2144">
        <f t="shared" si="11"/>
        <v>268521</v>
      </c>
      <c r="G215" s="2160">
        <f t="shared" si="11"/>
        <v>0.34204187487978521</v>
      </c>
      <c r="H215" s="2146">
        <f t="shared" si="5"/>
        <v>0</v>
      </c>
      <c r="I215" s="2157" t="str">
        <f>IF(AND($J20=0,$K20=0),"",$I20)</f>
        <v>התחייבויות שוטפות</v>
      </c>
      <c r="J215" s="2144">
        <f t="shared" si="7"/>
        <v>234694</v>
      </c>
      <c r="K215" s="2161">
        <f>K20</f>
        <v>218448</v>
      </c>
    </row>
    <row r="216" spans="2:11" ht="18" customHeight="1">
      <c r="B216" s="2153" t="str">
        <f t="shared" si="10"/>
        <v>שכר חינוך</v>
      </c>
      <c r="C216" s="2144">
        <f t="shared" si="11"/>
        <v>154130</v>
      </c>
      <c r="D216" s="2144">
        <f t="shared" si="11"/>
        <v>147277</v>
      </c>
      <c r="E216" s="2159">
        <f t="shared" si="11"/>
        <v>0.17611220326498203</v>
      </c>
      <c r="F216" s="2144">
        <f t="shared" si="11"/>
        <v>139341</v>
      </c>
      <c r="G216" s="2160">
        <f t="shared" si="11"/>
        <v>0.17749247503034826</v>
      </c>
      <c r="H216" s="2146">
        <f t="shared" si="5"/>
        <v>0</v>
      </c>
      <c r="I216" s="2157" t="str">
        <f>IF(AND($I21&lt;&gt;"(***)",OR($J21&lt;&gt;0,$K21&lt;&gt;0)),$I21,"")</f>
        <v/>
      </c>
      <c r="J216" s="2144">
        <f t="shared" si="7"/>
        <v>0</v>
      </c>
      <c r="K216" s="2161">
        <f t="shared" si="7"/>
        <v>0</v>
      </c>
    </row>
    <row r="217" spans="2:11" ht="18" customHeight="1">
      <c r="B217" s="2153" t="str">
        <f t="shared" si="10"/>
        <v>פעולות חינוך</v>
      </c>
      <c r="C217" s="2144">
        <f t="shared" si="11"/>
        <v>115202</v>
      </c>
      <c r="D217" s="2144">
        <f t="shared" si="11"/>
        <v>112702</v>
      </c>
      <c r="E217" s="2159">
        <f t="shared" si="11"/>
        <v>0.13476780170949981</v>
      </c>
      <c r="F217" s="2144">
        <f t="shared" si="11"/>
        <v>106787</v>
      </c>
      <c r="G217" s="2160">
        <f t="shared" si="11"/>
        <v>0.13602521103670709</v>
      </c>
      <c r="H217" s="2146">
        <f t="shared" si="5"/>
        <v>0</v>
      </c>
      <c r="I217" s="2157" t="str">
        <f>IF(AND($J22=0,$K22=0),"",$I22)</f>
        <v>קרן לעבודות פיתוח ואחרות</v>
      </c>
      <c r="J217" s="2144">
        <f t="shared" si="7"/>
        <v>171112</v>
      </c>
      <c r="K217" s="2161">
        <f t="shared" si="7"/>
        <v>186536</v>
      </c>
    </row>
    <row r="218" spans="2:11" ht="18" customHeight="1">
      <c r="B218" s="2153" t="str">
        <f t="shared" si="10"/>
        <v>שכר רווחה</v>
      </c>
      <c r="C218" s="2144">
        <f t="shared" si="11"/>
        <v>19149</v>
      </c>
      <c r="D218" s="2144">
        <f t="shared" si="11"/>
        <v>18209</v>
      </c>
      <c r="E218" s="2159">
        <f t="shared" si="11"/>
        <v>2.1774120258099078E-2</v>
      </c>
      <c r="F218" s="2144">
        <f t="shared" si="11"/>
        <v>16804</v>
      </c>
      <c r="G218" s="2160">
        <f t="shared" si="11"/>
        <v>2.1404924253521737E-2</v>
      </c>
      <c r="H218" s="2146">
        <f t="shared" si="5"/>
        <v>0</v>
      </c>
      <c r="I218" s="2157" t="str">
        <f>IF(AND($J23=0,$K23=0),"",$I23)</f>
        <v>קרנות מתוקצבות</v>
      </c>
      <c r="J218" s="2144">
        <f t="shared" si="7"/>
        <v>180910</v>
      </c>
      <c r="K218" s="2161">
        <f t="shared" si="7"/>
        <v>180745</v>
      </c>
    </row>
    <row r="219" spans="2:11" ht="18" customHeight="1">
      <c r="B219" s="2153" t="str">
        <f t="shared" si="10"/>
        <v>פעולות רווחה</v>
      </c>
      <c r="C219" s="2144">
        <f t="shared" si="11"/>
        <v>72314</v>
      </c>
      <c r="D219" s="2144">
        <f t="shared" si="11"/>
        <v>69270</v>
      </c>
      <c r="E219" s="2159">
        <f t="shared" si="11"/>
        <v>8.2832297780137468E-2</v>
      </c>
      <c r="F219" s="2144">
        <f t="shared" si="11"/>
        <v>65141</v>
      </c>
      <c r="G219" s="2160">
        <f t="shared" si="11"/>
        <v>8.2976563365785488E-2</v>
      </c>
      <c r="H219" s="2146">
        <f t="shared" si="5"/>
        <v>0</v>
      </c>
      <c r="I219" s="2157" t="str">
        <f>IF(AND($J24=0,$K24=0),"",$I24)</f>
        <v>עודף מצטבר בתקציב הרגיל</v>
      </c>
      <c r="J219" s="2144">
        <f t="shared" si="7"/>
        <v>19442</v>
      </c>
      <c r="K219" s="2161">
        <f t="shared" si="7"/>
        <v>23286</v>
      </c>
    </row>
    <row r="220" spans="2:11" ht="18" customHeight="1">
      <c r="B220" s="2153" t="str">
        <f t="shared" si="10"/>
        <v>מימון</v>
      </c>
      <c r="C220" s="2144">
        <f t="shared" si="11"/>
        <v>2910</v>
      </c>
      <c r="D220" s="2144">
        <f t="shared" si="11"/>
        <v>2630</v>
      </c>
      <c r="E220" s="2159">
        <f t="shared" si="11"/>
        <v>3.1449248327091316E-3</v>
      </c>
      <c r="F220" s="2144">
        <f t="shared" si="11"/>
        <v>2503</v>
      </c>
      <c r="G220" s="2160">
        <f t="shared" si="11"/>
        <v>3.1883197694932697E-3</v>
      </c>
      <c r="H220" s="2146">
        <f t="shared" si="5"/>
        <v>0</v>
      </c>
      <c r="I220" s="2157" t="str">
        <f>IF(AND($J25=0,$K25=0),"",$I25)</f>
        <v>עודפים זמניים נטו בתב"ר</v>
      </c>
      <c r="J220" s="2144">
        <f t="shared" si="7"/>
        <v>276122</v>
      </c>
      <c r="K220" s="2161">
        <f t="shared" si="7"/>
        <v>126658</v>
      </c>
    </row>
    <row r="221" spans="2:11" ht="18" customHeight="1" thickBot="1">
      <c r="B221" s="2153" t="str">
        <f t="shared" si="10"/>
        <v xml:space="preserve">פרעון מלוות </v>
      </c>
      <c r="C221" s="2163">
        <f t="shared" si="11"/>
        <v>36600</v>
      </c>
      <c r="D221" s="2163">
        <f t="shared" si="11"/>
        <v>34633</v>
      </c>
      <c r="E221" s="2164">
        <f t="shared" si="11"/>
        <v>4.141375731224918E-2</v>
      </c>
      <c r="F221" s="2163">
        <f t="shared" si="11"/>
        <v>40282</v>
      </c>
      <c r="G221" s="2165">
        <f t="shared" si="11"/>
        <v>5.1311185359459804E-2</v>
      </c>
      <c r="H221" s="2146">
        <f t="shared" si="5"/>
        <v>0</v>
      </c>
      <c r="I221" s="2157" t="str">
        <f>IF(AND($J26=0,$K26=0),"",$I26)</f>
        <v>סה"כ</v>
      </c>
      <c r="J221" s="2166">
        <f t="shared" si="7"/>
        <v>882280</v>
      </c>
      <c r="K221" s="2171">
        <f t="shared" si="7"/>
        <v>735673</v>
      </c>
    </row>
    <row r="222" spans="2:11" ht="18" customHeight="1" thickTop="1" thickBot="1">
      <c r="B222" s="2153" t="str">
        <f t="shared" si="10"/>
        <v>סה"כ</v>
      </c>
      <c r="C222" s="2166">
        <f t="shared" si="11"/>
        <v>836225</v>
      </c>
      <c r="D222" s="2166">
        <f t="shared" si="11"/>
        <v>836268</v>
      </c>
      <c r="E222" s="2167">
        <f t="shared" si="11"/>
        <v>1</v>
      </c>
      <c r="F222" s="2166">
        <f t="shared" si="11"/>
        <v>785053</v>
      </c>
      <c r="G222" s="2168">
        <f t="shared" si="11"/>
        <v>1</v>
      </c>
      <c r="H222" s="2146">
        <f t="shared" si="5"/>
        <v>0</v>
      </c>
      <c r="I222" s="2157">
        <f>I27</f>
        <v>0</v>
      </c>
      <c r="J222" s="2142">
        <f t="shared" si="7"/>
        <v>0</v>
      </c>
      <c r="K222" s="2176">
        <f t="shared" si="7"/>
        <v>0</v>
      </c>
    </row>
    <row r="223" spans="2:11" ht="18" customHeight="1" thickTop="1">
      <c r="B223" s="2153">
        <f>B28</f>
        <v>0</v>
      </c>
      <c r="C223" s="2177">
        <f t="shared" si="11"/>
        <v>0</v>
      </c>
      <c r="D223" s="2177">
        <f t="shared" si="11"/>
        <v>0</v>
      </c>
      <c r="E223" s="2177">
        <f t="shared" si="11"/>
        <v>0</v>
      </c>
      <c r="F223" s="2177">
        <f t="shared" si="11"/>
        <v>0</v>
      </c>
      <c r="G223" s="2178">
        <f t="shared" si="11"/>
        <v>0</v>
      </c>
      <c r="H223" s="2146">
        <f t="shared" si="5"/>
        <v>0</v>
      </c>
      <c r="I223" s="2179">
        <f>I28</f>
        <v>0</v>
      </c>
      <c r="J223" s="2151">
        <f t="shared" si="7"/>
        <v>2015</v>
      </c>
      <c r="K223" s="2152">
        <f t="shared" si="7"/>
        <v>2014</v>
      </c>
    </row>
    <row r="224" spans="2:11" ht="18" customHeight="1" thickBot="1">
      <c r="B224" s="2153" t="str">
        <f>IF(AND($C29=0,$D29=0,$E29=0,$F29=0,$G29=0),"",$B29)</f>
        <v>עודף בשנת הדוח</v>
      </c>
      <c r="C224" s="2180">
        <f t="shared" si="11"/>
        <v>0</v>
      </c>
      <c r="D224" s="2180">
        <f t="shared" si="11"/>
        <v>17517</v>
      </c>
      <c r="E224" s="2144">
        <f t="shared" si="11"/>
        <v>0</v>
      </c>
      <c r="F224" s="2180">
        <f t="shared" si="11"/>
        <v>10642</v>
      </c>
      <c r="G224" s="2178">
        <f t="shared" si="11"/>
        <v>0</v>
      </c>
      <c r="H224" s="2146">
        <f t="shared" si="5"/>
        <v>0</v>
      </c>
      <c r="I224" s="2157" t="str">
        <f>IF(AND($J29=0,$K29=0),"",$I29)</f>
        <v>עומס מלוות לסוף שנה</v>
      </c>
      <c r="J224" s="2181">
        <f t="shared" si="7"/>
        <v>128428</v>
      </c>
      <c r="K224" s="2182">
        <f t="shared" si="7"/>
        <v>158119</v>
      </c>
    </row>
    <row r="225" spans="2:11" ht="18" customHeight="1" thickTop="1">
      <c r="B225" s="2183">
        <f>B30</f>
        <v>0</v>
      </c>
      <c r="C225" s="2184">
        <f t="shared" ref="C225:G234" si="12">C30</f>
        <v>0</v>
      </c>
      <c r="D225" s="2184">
        <f t="shared" si="12"/>
        <v>0</v>
      </c>
      <c r="E225" s="2184">
        <f t="shared" si="12"/>
        <v>0</v>
      </c>
      <c r="F225" s="2184">
        <f t="shared" si="12"/>
        <v>0</v>
      </c>
      <c r="G225" s="2185">
        <f t="shared" si="12"/>
        <v>0</v>
      </c>
      <c r="H225" s="2146">
        <f t="shared" si="5"/>
        <v>0</v>
      </c>
      <c r="I225" s="2186">
        <f>I30</f>
        <v>0</v>
      </c>
      <c r="J225" s="2187">
        <f t="shared" si="7"/>
        <v>0</v>
      </c>
      <c r="K225" s="2188">
        <f t="shared" si="7"/>
        <v>0</v>
      </c>
    </row>
    <row r="226" spans="2:11" ht="18" customHeight="1">
      <c r="B226" s="2145">
        <f>B31</f>
        <v>0</v>
      </c>
      <c r="C226" s="2145">
        <f t="shared" si="12"/>
        <v>0</v>
      </c>
      <c r="D226" s="2145">
        <f t="shared" si="12"/>
        <v>0</v>
      </c>
      <c r="E226" s="2145">
        <f t="shared" si="12"/>
        <v>0</v>
      </c>
      <c r="F226" s="2145">
        <f t="shared" si="12"/>
        <v>0</v>
      </c>
      <c r="G226" s="2145">
        <f t="shared" si="12"/>
        <v>0</v>
      </c>
      <c r="H226" s="2145">
        <f t="shared" si="5"/>
        <v>0</v>
      </c>
      <c r="I226" s="2145">
        <f>I31</f>
        <v>0</v>
      </c>
      <c r="J226" s="2145">
        <f t="shared" si="7"/>
        <v>0</v>
      </c>
      <c r="K226" s="2145">
        <f t="shared" si="7"/>
        <v>0</v>
      </c>
    </row>
    <row r="227" spans="2:11" ht="18" customHeight="1">
      <c r="B227" s="2189">
        <f>B32</f>
        <v>0</v>
      </c>
      <c r="C227" s="2151">
        <f t="shared" si="12"/>
        <v>2015</v>
      </c>
      <c r="D227" s="2152">
        <f t="shared" si="12"/>
        <v>2014</v>
      </c>
      <c r="E227" s="2145">
        <f t="shared" si="12"/>
        <v>0</v>
      </c>
      <c r="F227" s="2145">
        <f t="shared" si="12"/>
        <v>0</v>
      </c>
      <c r="G227" s="2145">
        <f t="shared" si="12"/>
        <v>0</v>
      </c>
      <c r="H227" s="2145">
        <f t="shared" si="5"/>
        <v>0</v>
      </c>
      <c r="I227" s="3706" t="str">
        <f>I32</f>
        <v>דוח גביה וחייבים - ארנונה</v>
      </c>
      <c r="J227" s="3706"/>
      <c r="K227" s="3706"/>
    </row>
    <row r="228" spans="2:11" ht="18" customHeight="1">
      <c r="B228" s="2153" t="str">
        <f t="shared" ref="B228:B233" si="13">IF(AND($C33=0,$D33=0),"",$B33)</f>
        <v/>
      </c>
      <c r="C228" s="2190">
        <f t="shared" si="12"/>
        <v>0</v>
      </c>
      <c r="D228" s="2191">
        <f t="shared" si="12"/>
        <v>0</v>
      </c>
      <c r="E228" s="2145">
        <f t="shared" si="12"/>
        <v>0</v>
      </c>
      <c r="F228" s="2145">
        <f t="shared" si="12"/>
        <v>0</v>
      </c>
      <c r="G228" s="2145">
        <f t="shared" si="12"/>
        <v>0</v>
      </c>
      <c r="H228" s="2145">
        <f t="shared" si="5"/>
        <v>0</v>
      </c>
      <c r="I228" s="2179">
        <f>I33</f>
        <v>0</v>
      </c>
      <c r="J228" s="2151">
        <f t="shared" ref="J228:K237" si="14">J33</f>
        <v>2015</v>
      </c>
      <c r="K228" s="2152">
        <f t="shared" si="14"/>
        <v>2014</v>
      </c>
    </row>
    <row r="229" spans="2:11" ht="18" customHeight="1">
      <c r="B229" s="2153" t="str">
        <f t="shared" si="13"/>
        <v/>
      </c>
      <c r="C229" s="2192">
        <f t="shared" si="12"/>
        <v>0</v>
      </c>
      <c r="D229" s="2193">
        <f t="shared" si="12"/>
        <v>0</v>
      </c>
      <c r="E229" s="2145">
        <f t="shared" si="12"/>
        <v>0</v>
      </c>
      <c r="F229" s="2145">
        <f t="shared" si="12"/>
        <v>0</v>
      </c>
      <c r="G229" s="2145">
        <f t="shared" si="12"/>
        <v>0</v>
      </c>
      <c r="H229" s="2145">
        <f t="shared" si="5"/>
        <v>0</v>
      </c>
      <c r="I229" s="2157" t="str">
        <f t="shared" ref="I229:I237" si="15">IF(AND($J34=0,$K34=0),"",$I34)</f>
        <v>יתרת חוב לתחילת השנה</v>
      </c>
      <c r="J229" s="2144">
        <f t="shared" si="14"/>
        <v>150029</v>
      </c>
      <c r="K229" s="2161">
        <f t="shared" si="14"/>
        <v>134943</v>
      </c>
    </row>
    <row r="230" spans="2:11" ht="18" customHeight="1">
      <c r="B230" s="2153" t="str">
        <f t="shared" si="13"/>
        <v>% עומס המלוות מההכנסה</v>
      </c>
      <c r="C230" s="2192">
        <f t="shared" si="12"/>
        <v>0.1504219446347734</v>
      </c>
      <c r="D230" s="2193">
        <f t="shared" si="12"/>
        <v>0.19871810178523178</v>
      </c>
      <c r="E230" s="2145">
        <f t="shared" si="12"/>
        <v>0</v>
      </c>
      <c r="F230" s="2145">
        <f t="shared" si="12"/>
        <v>0</v>
      </c>
      <c r="G230" s="2145">
        <f t="shared" si="12"/>
        <v>0</v>
      </c>
      <c r="H230" s="2145">
        <f t="shared" si="5"/>
        <v>0</v>
      </c>
      <c r="I230" s="2157" t="str">
        <f t="shared" si="15"/>
        <v>חיוב השנה</v>
      </c>
      <c r="J230" s="2144">
        <f t="shared" si="14"/>
        <v>545483.79</v>
      </c>
      <c r="K230" s="2161">
        <f t="shared" si="14"/>
        <v>519591</v>
      </c>
    </row>
    <row r="231" spans="2:11" ht="18" customHeight="1">
      <c r="B231" s="2153" t="str">
        <f t="shared" si="13"/>
        <v>% סך ההתחייבויות מההכנסה</v>
      </c>
      <c r="C231" s="2192">
        <f t="shared" si="12"/>
        <v>0.27488653466622159</v>
      </c>
      <c r="D231" s="2193">
        <f t="shared" si="12"/>
        <v>0.27453735413694946</v>
      </c>
      <c r="E231" s="2145">
        <f t="shared" si="12"/>
        <v>0</v>
      </c>
      <c r="F231" s="2145">
        <f t="shared" si="12"/>
        <v>0</v>
      </c>
      <c r="G231" s="2145">
        <f t="shared" si="12"/>
        <v>0</v>
      </c>
      <c r="H231" s="2145">
        <f t="shared" si="5"/>
        <v>0</v>
      </c>
      <c r="I231" s="2157" t="str">
        <f t="shared" si="15"/>
        <v>הנחות ופטורים שניתנו</v>
      </c>
      <c r="J231" s="2144">
        <f t="shared" si="14"/>
        <v>-47195</v>
      </c>
      <c r="K231" s="2161">
        <f t="shared" si="14"/>
        <v>-46221</v>
      </c>
    </row>
    <row r="232" spans="2:11" ht="18" customHeight="1">
      <c r="B232" s="2153" t="str">
        <f t="shared" si="13"/>
        <v>הוצאה ממוצעת לנפש בש"ח</v>
      </c>
      <c r="C232" s="2144">
        <f t="shared" si="12"/>
        <v>8147.4250306891918</v>
      </c>
      <c r="D232" s="2161">
        <f t="shared" si="12"/>
        <v>7749.6298197468959</v>
      </c>
      <c r="E232" s="2145">
        <f t="shared" si="12"/>
        <v>0</v>
      </c>
      <c r="F232" s="2145">
        <f t="shared" si="12"/>
        <v>0</v>
      </c>
      <c r="G232" s="2145">
        <f t="shared" si="12"/>
        <v>0</v>
      </c>
      <c r="H232" s="2145">
        <f t="shared" si="5"/>
        <v>0</v>
      </c>
      <c r="I232" s="2157" t="str">
        <f t="shared" si="15"/>
        <v>העברה לחובות מסופקים וחובות למחיקה</v>
      </c>
      <c r="J232" s="2144">
        <f t="shared" si="14"/>
        <v>-4240</v>
      </c>
      <c r="K232" s="2161">
        <f t="shared" si="14"/>
        <v>-4451</v>
      </c>
    </row>
    <row r="233" spans="2:11" ht="18" customHeight="1">
      <c r="B233" s="2153" t="str">
        <f t="shared" si="13"/>
        <v>מספר משרות ממוצע</v>
      </c>
      <c r="C233" s="2144">
        <f t="shared" si="12"/>
        <v>1939.3100000000002</v>
      </c>
      <c r="D233" s="2161">
        <f t="shared" si="12"/>
        <v>1844</v>
      </c>
      <c r="E233" s="2145">
        <f t="shared" si="12"/>
        <v>0</v>
      </c>
      <c r="F233" s="2145">
        <f t="shared" si="12"/>
        <v>0</v>
      </c>
      <c r="G233" s="2145">
        <f t="shared" si="12"/>
        <v>0</v>
      </c>
      <c r="H233" s="2145">
        <f t="shared" si="5"/>
        <v>0</v>
      </c>
      <c r="I233" s="2157" t="str">
        <f t="shared" si="15"/>
        <v>סך לגביה</v>
      </c>
      <c r="J233" s="2195">
        <f t="shared" si="14"/>
        <v>644077.79</v>
      </c>
      <c r="K233" s="2182">
        <f t="shared" si="14"/>
        <v>603862</v>
      </c>
    </row>
    <row r="234" spans="2:11" ht="18" customHeight="1">
      <c r="B234" s="2194">
        <f>B39</f>
        <v>0</v>
      </c>
      <c r="C234" s="2187">
        <f t="shared" si="12"/>
        <v>0</v>
      </c>
      <c r="D234" s="2188">
        <f t="shared" si="12"/>
        <v>0</v>
      </c>
      <c r="E234" s="2145">
        <f t="shared" si="12"/>
        <v>0</v>
      </c>
      <c r="F234" s="2145">
        <f t="shared" si="12"/>
        <v>0</v>
      </c>
      <c r="G234" s="2145">
        <f t="shared" si="12"/>
        <v>0</v>
      </c>
      <c r="H234" s="2145">
        <f t="shared" si="5"/>
        <v>0</v>
      </c>
      <c r="I234" s="2157" t="str">
        <f t="shared" si="15"/>
        <v>גביה בשנת הדוח</v>
      </c>
      <c r="J234" s="2195">
        <f t="shared" si="14"/>
        <v>491977</v>
      </c>
      <c r="K234" s="2182">
        <f t="shared" si="14"/>
        <v>453833</v>
      </c>
    </row>
    <row r="235" spans="2:11" ht="18" customHeight="1">
      <c r="B235" s="2145">
        <f>B40</f>
        <v>0</v>
      </c>
      <c r="C235" s="2145">
        <f>C40</f>
        <v>0</v>
      </c>
      <c r="D235" s="2145">
        <f>D40</f>
        <v>0</v>
      </c>
      <c r="E235" s="2145">
        <f>E40</f>
        <v>0</v>
      </c>
      <c r="F235" s="2145">
        <f>F40</f>
        <v>0</v>
      </c>
      <c r="G235" s="2145">
        <f>G40</f>
        <v>0</v>
      </c>
      <c r="H235" s="2145">
        <f t="shared" si="5"/>
        <v>0</v>
      </c>
      <c r="I235" s="2157" t="str">
        <f t="shared" si="15"/>
        <v>יתרת חוב לסוף השנה</v>
      </c>
      <c r="J235" s="2181">
        <f t="shared" si="14"/>
        <v>152100.79000000004</v>
      </c>
      <c r="K235" s="3178">
        <f t="shared" si="14"/>
        <v>150029</v>
      </c>
    </row>
    <row r="236" spans="2:11" s="3167" customFormat="1" ht="18" customHeight="1">
      <c r="B236" s="2145"/>
      <c r="C236" s="2145"/>
      <c r="D236" s="2145"/>
      <c r="E236" s="2145"/>
      <c r="F236" s="2145"/>
      <c r="G236" s="2145"/>
      <c r="H236" s="2145"/>
      <c r="I236" s="2157" t="str">
        <f t="shared" si="15"/>
        <v>חובות מסופקים וחובות למחיקה</v>
      </c>
      <c r="J236" s="2195">
        <f t="shared" si="14"/>
        <v>142368</v>
      </c>
      <c r="K236" s="2182">
        <f t="shared" si="14"/>
        <v>149850</v>
      </c>
    </row>
    <row r="237" spans="2:11" s="3167" customFormat="1" ht="18" customHeight="1" thickBot="1">
      <c r="B237" s="2145"/>
      <c r="C237" s="2145"/>
      <c r="D237" s="2145"/>
      <c r="E237" s="2145"/>
      <c r="F237" s="2145"/>
      <c r="G237" s="2145"/>
      <c r="H237" s="2145"/>
      <c r="I237" s="2157" t="str">
        <f t="shared" si="15"/>
        <v>סה"כ יתרות לסוף שנה כולל חובות מסופקים</v>
      </c>
      <c r="J237" s="3129">
        <f t="shared" si="14"/>
        <v>294468.79000000004</v>
      </c>
      <c r="K237" s="3130">
        <f t="shared" si="14"/>
        <v>299879</v>
      </c>
    </row>
    <row r="238" spans="2:11" ht="20.25" customHeight="1" thickTop="1">
      <c r="B238" s="3708" t="str">
        <f>B41</f>
        <v>נתוני ביצוע  התקציב הבלתי רגיל</v>
      </c>
      <c r="C238" s="3708"/>
      <c r="D238" s="3708"/>
      <c r="E238" s="2142">
        <f t="shared" ref="E238:G242" si="16">E41</f>
        <v>0</v>
      </c>
      <c r="F238" s="2145">
        <f t="shared" si="16"/>
        <v>0</v>
      </c>
      <c r="G238" s="2145">
        <f t="shared" si="16"/>
        <v>0</v>
      </c>
      <c r="H238" s="2145">
        <f>H41</f>
        <v>0</v>
      </c>
      <c r="I238" s="2157" t="str">
        <f>IF(AND($J43=0,$K43=0),"",$I43)</f>
        <v>אחוז גביה מהפיגורים (*)</v>
      </c>
      <c r="J238" s="2196">
        <f t="shared" ref="J238:K241" si="17">J43</f>
        <v>0.36380420529347679</v>
      </c>
      <c r="K238" s="2197">
        <f t="shared" si="17"/>
        <v>0.34899248072031008</v>
      </c>
    </row>
    <row r="239" spans="2:11" ht="18" customHeight="1">
      <c r="B239" s="2189">
        <f>B42</f>
        <v>0</v>
      </c>
      <c r="C239" s="2151">
        <f t="shared" ref="C239:D244" si="18">C42</f>
        <v>2015</v>
      </c>
      <c r="D239" s="2152">
        <f t="shared" si="18"/>
        <v>2014</v>
      </c>
      <c r="E239" s="2145">
        <f t="shared" si="16"/>
        <v>0</v>
      </c>
      <c r="F239" s="2145">
        <f t="shared" si="16"/>
        <v>0</v>
      </c>
      <c r="G239" s="2145">
        <f t="shared" si="16"/>
        <v>0</v>
      </c>
      <c r="H239" s="2145">
        <f>H42</f>
        <v>0</v>
      </c>
      <c r="I239" s="2157" t="str">
        <f>IF(AND($J44=0,$K44=0),"",$I44)</f>
        <v>אחוז גביה מהשוטף (*)</v>
      </c>
      <c r="J239" s="2196">
        <f t="shared" si="17"/>
        <v>0.88878694087196808</v>
      </c>
      <c r="K239" s="2197">
        <f t="shared" si="17"/>
        <v>0.85622296551479504</v>
      </c>
    </row>
    <row r="240" spans="2:11" ht="18" customHeight="1">
      <c r="B240" s="2153" t="str">
        <f>IF(AND($C43=0,$D43=0),"",$B43)</f>
        <v>עודף (גרעון) זמני לתחילת השנה</v>
      </c>
      <c r="C240" s="2154">
        <f t="shared" si="18"/>
        <v>126658</v>
      </c>
      <c r="D240" s="2158">
        <f t="shared" si="18"/>
        <v>112515</v>
      </c>
      <c r="E240" s="2145">
        <f t="shared" si="16"/>
        <v>0</v>
      </c>
      <c r="F240" s="2145">
        <f t="shared" si="16"/>
        <v>0</v>
      </c>
      <c r="G240" s="2145">
        <f t="shared" si="16"/>
        <v>0</v>
      </c>
      <c r="H240" s="2145">
        <f>H43</f>
        <v>0</v>
      </c>
      <c r="I240" s="2157" t="str">
        <f>IF(AND($J45=0,$K45=0),"",$I45)</f>
        <v>יחס הגביה לחוב הכולל (*)</v>
      </c>
      <c r="J240" s="2196">
        <f t="shared" si="17"/>
        <v>0.76384717442282857</v>
      </c>
      <c r="K240" s="2197">
        <f t="shared" si="17"/>
        <v>0.75155085102225339</v>
      </c>
    </row>
    <row r="241" spans="2:12" ht="18" customHeight="1">
      <c r="B241" s="2153" t="str">
        <f>IF(AND($C44=0,$D44=0),"",$B44)</f>
        <v>תקבולים במהלך השנה</v>
      </c>
      <c r="C241" s="2144">
        <f t="shared" si="18"/>
        <v>321430</v>
      </c>
      <c r="D241" s="2161">
        <f t="shared" si="18"/>
        <v>254652</v>
      </c>
      <c r="E241" s="2145">
        <f t="shared" si="16"/>
        <v>0</v>
      </c>
      <c r="F241" s="2145">
        <f t="shared" si="16"/>
        <v>0</v>
      </c>
      <c r="G241" s="2145">
        <f t="shared" si="16"/>
        <v>0</v>
      </c>
      <c r="H241" s="2145">
        <f>H44</f>
        <v>0</v>
      </c>
      <c r="I241" s="2186" t="str">
        <f>IF(AND($J46=0,$K46=0),"",$I46)</f>
        <v>ממוצע ארנונה למגורים למ"ר</v>
      </c>
      <c r="J241" s="3020">
        <f t="shared" si="17"/>
        <v>58.563790362414878</v>
      </c>
      <c r="K241" s="3021">
        <f t="shared" si="17"/>
        <v>57.975362715576239</v>
      </c>
    </row>
    <row r="242" spans="2:12" ht="18" customHeight="1">
      <c r="B242" s="2153" t="str">
        <f>IF(AND($C45=0,$D45=0),"",$B45)</f>
        <v>תשלומים במהלך השנה</v>
      </c>
      <c r="C242" s="2144">
        <f t="shared" si="18"/>
        <v>171966</v>
      </c>
      <c r="D242" s="2161">
        <f t="shared" si="18"/>
        <v>240509</v>
      </c>
      <c r="E242" s="2198">
        <f t="shared" si="16"/>
        <v>0</v>
      </c>
      <c r="F242" s="2145">
        <f t="shared" si="16"/>
        <v>0</v>
      </c>
      <c r="G242" s="2145">
        <f t="shared" si="16"/>
        <v>0</v>
      </c>
      <c r="H242" s="2145">
        <f>H45</f>
        <v>0</v>
      </c>
      <c r="I242" s="3179" t="str">
        <f>I47</f>
        <v>(*) השיעורים מחושבים ללא חובות מסופקים וחובות למחיקה.</v>
      </c>
      <c r="J242" s="2145"/>
      <c r="K242" s="2145"/>
    </row>
    <row r="243" spans="2:12" ht="18" customHeight="1">
      <c r="B243" s="2153" t="str">
        <f>IF(AND($C46=0,$D46=0),"",$B46)</f>
        <v>עודף (גרעון) זמני לסוף השנה</v>
      </c>
      <c r="C243" s="2144">
        <f t="shared" si="18"/>
        <v>276122</v>
      </c>
      <c r="D243" s="2161">
        <f t="shared" si="18"/>
        <v>126658</v>
      </c>
      <c r="E243" s="2145">
        <f t="shared" ref="E243:F244" si="19">E46</f>
        <v>0</v>
      </c>
      <c r="F243" s="3703">
        <f>F46</f>
        <v>0</v>
      </c>
      <c r="G243" s="3703"/>
      <c r="H243" s="3703"/>
      <c r="I243" s="3703"/>
      <c r="J243" s="2145"/>
      <c r="K243" s="2145"/>
    </row>
    <row r="244" spans="2:12" ht="18" customHeight="1">
      <c r="B244" s="2186">
        <f>B47</f>
        <v>0</v>
      </c>
      <c r="C244" s="2184">
        <f t="shared" si="18"/>
        <v>0</v>
      </c>
      <c r="D244" s="2188">
        <f t="shared" si="18"/>
        <v>0</v>
      </c>
      <c r="E244" s="2145">
        <f t="shared" si="19"/>
        <v>0</v>
      </c>
      <c r="F244" s="2145">
        <f t="shared" si="19"/>
        <v>0</v>
      </c>
      <c r="G244" s="3703">
        <f>G47</f>
        <v>0</v>
      </c>
      <c r="H244" s="3703"/>
      <c r="I244" s="3703"/>
      <c r="J244" s="3703"/>
      <c r="K244" s="2145"/>
      <c r="L244" s="2145"/>
    </row>
    <row r="245" spans="2:12" ht="18" customHeight="1">
      <c r="B245" s="2199" t="str">
        <f>B48</f>
        <v>*נכון לחודש אוקטובר 2015</v>
      </c>
      <c r="C245" s="2145">
        <f>C48</f>
        <v>0</v>
      </c>
      <c r="D245" s="2145">
        <f>D48</f>
        <v>0</v>
      </c>
      <c r="E245" s="2145">
        <f>E48</f>
        <v>0</v>
      </c>
      <c r="F245" s="3703" t="str">
        <f t="shared" ref="F245" si="20">F48</f>
        <v>הרשות הינה רשות איתנה ותקציבה אינו טעון אישור משרד הפנים</v>
      </c>
      <c r="G245" s="3703"/>
      <c r="H245" s="3703"/>
      <c r="I245" s="3703"/>
      <c r="J245" s="2145">
        <f t="shared" ref="J245:K245" si="21">J48</f>
        <v>0</v>
      </c>
      <c r="K245" s="2145">
        <f t="shared" si="21"/>
        <v>0</v>
      </c>
    </row>
    <row r="246" spans="2:12" s="3164" customFormat="1" ht="18" customHeight="1">
      <c r="B246" s="2199"/>
      <c r="C246" s="2145"/>
      <c r="D246" s="2145"/>
      <c r="E246" s="2145"/>
      <c r="F246" s="3663" t="str">
        <f t="shared" ref="F246" si="22">F49</f>
        <v xml:space="preserve"> </v>
      </c>
      <c r="G246" s="3663"/>
      <c r="H246" s="3663"/>
      <c r="I246" s="3663"/>
      <c r="J246" s="3663"/>
      <c r="K246" s="3663"/>
    </row>
  </sheetData>
  <sheetProtection password="83C1" sheet="1" objects="1" scenarios="1"/>
  <mergeCells count="33">
    <mergeCell ref="G244:J244"/>
    <mergeCell ref="F245:I245"/>
    <mergeCell ref="F246:K246"/>
    <mergeCell ref="B194:K194"/>
    <mergeCell ref="I204:K204"/>
    <mergeCell ref="F243:I243"/>
    <mergeCell ref="B196:K196"/>
    <mergeCell ref="B195:K195"/>
    <mergeCell ref="E201:F201"/>
    <mergeCell ref="G201:H201"/>
    <mergeCell ref="B238:D238"/>
    <mergeCell ref="C202:D202"/>
    <mergeCell ref="E202:F202"/>
    <mergeCell ref="G202:H202"/>
    <mergeCell ref="I227:K227"/>
    <mergeCell ref="C200:D200"/>
    <mergeCell ref="E1:I1"/>
    <mergeCell ref="E6:F6"/>
    <mergeCell ref="E7:F7"/>
    <mergeCell ref="I9:K9"/>
    <mergeCell ref="G6:H6"/>
    <mergeCell ref="G7:H7"/>
    <mergeCell ref="C201:D201"/>
    <mergeCell ref="B204:G204"/>
    <mergeCell ref="C5:D5"/>
    <mergeCell ref="E2:I2"/>
    <mergeCell ref="E3:I3"/>
    <mergeCell ref="B41:D41"/>
    <mergeCell ref="I32:K32"/>
    <mergeCell ref="B9:G9"/>
    <mergeCell ref="C6:D6"/>
    <mergeCell ref="C7:D7"/>
    <mergeCell ref="F48:I48"/>
  </mergeCells>
  <phoneticPr fontId="4" type="noConversion"/>
  <hyperlinks>
    <hyperlink ref="A4" location="'תוכן הענינים'!A1" tooltip="לחץ להצגת גליון תוכן הענינים" display="הצג תוכן ענינים"/>
  </hyperlinks>
  <printOptions horizontalCentered="1"/>
  <pageMargins left="0.14000000000000001" right="0.18" top="0.75" bottom="0.98425196850393704" header="0.25" footer="0.196850393700787"/>
  <pageSetup paperSize="9" scale="73" orientation="portrait" blackAndWhite="1" r:id="rId1"/>
  <headerFooter alignWithMargins="0">
    <oddHeader>&amp;L&amp;8&amp;A</oddHeader>
    <oddFooter>&amp;C&amp;8&amp;P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
  <dimension ref="A1:ER146"/>
  <sheetViews>
    <sheetView showGridLines="0" showRowColHeaders="0" showZeros="0" rightToLeft="1" showOutlineSymbols="0" topLeftCell="A16" zoomScaleNormal="100" zoomScaleSheetLayoutView="75" workbookViewId="0">
      <selection activeCell="A4" sqref="A4"/>
    </sheetView>
  </sheetViews>
  <sheetFormatPr defaultColWidth="9.109375" defaultRowHeight="15.6"/>
  <cols>
    <col min="1" max="1" width="7" style="5" customWidth="1"/>
    <col min="2" max="2" width="30.109375" style="5" customWidth="1"/>
    <col min="3" max="3" width="8.44140625" style="5" customWidth="1"/>
    <col min="4" max="4" width="10.109375" style="5" customWidth="1"/>
    <col min="5" max="5" width="16" style="5" customWidth="1"/>
    <col min="6" max="6" width="11.6640625" style="5" customWidth="1"/>
    <col min="7" max="7" width="2.6640625" style="5" customWidth="1"/>
    <col min="8" max="8" width="11.6640625" style="5" customWidth="1"/>
    <col min="9" max="9" width="2.33203125" style="5" customWidth="1"/>
    <col min="10" max="10" width="14.109375" style="4" customWidth="1"/>
    <col min="11" max="11" width="14.6640625" style="4" customWidth="1"/>
    <col min="12" max="12" width="9.109375" style="4"/>
    <col min="13" max="16384" width="9.109375" style="5"/>
  </cols>
  <sheetData>
    <row r="1" spans="1:148" ht="13.5" customHeight="1">
      <c r="A1" s="1"/>
      <c r="B1" s="2"/>
      <c r="C1" s="2"/>
      <c r="D1" s="2"/>
      <c r="E1" s="3361" t="str">
        <f>'הגדרות כלליות'!D6</f>
        <v>עירית הרצליה</v>
      </c>
      <c r="F1" s="3362"/>
      <c r="G1" s="3362"/>
      <c r="H1" s="3362"/>
      <c r="I1" s="3362"/>
      <c r="J1" s="3362"/>
      <c r="K1" s="3362"/>
      <c r="L1" s="3"/>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row>
    <row r="2" spans="1:148" ht="18" customHeight="1">
      <c r="A2" s="1"/>
      <c r="B2" s="2"/>
      <c r="C2" s="2"/>
      <c r="D2" s="2"/>
      <c r="E2" s="3361" t="str">
        <f>CONCATENATE("מאזן ליום 31 בדצמבר "," ",'הגדרות כלליות'!D10)</f>
        <v>מאזן ליום 31 בדצמבר  2015</v>
      </c>
      <c r="F2" s="3363"/>
      <c r="G2" s="3363"/>
      <c r="H2" s="3363"/>
      <c r="I2" s="3363"/>
      <c r="J2" s="3363"/>
      <c r="K2" s="3363"/>
      <c r="L2" s="3"/>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row>
    <row r="3" spans="1:148" ht="19.5" customHeight="1">
      <c r="A3" s="1"/>
      <c r="B3" s="6"/>
      <c r="C3" s="1"/>
      <c r="D3" s="1"/>
      <c r="E3" s="3361" t="s">
        <v>338</v>
      </c>
      <c r="F3" s="3363"/>
      <c r="G3" s="3363"/>
      <c r="H3" s="3363"/>
      <c r="I3" s="3363"/>
      <c r="J3" s="3363"/>
      <c r="K3" s="3363"/>
      <c r="L3" s="3"/>
      <c r="N3" s="4"/>
    </row>
    <row r="4" spans="1:148" ht="22.5" customHeight="1">
      <c r="A4" s="7" t="s">
        <v>339</v>
      </c>
      <c r="B4" s="8"/>
      <c r="C4" s="9"/>
      <c r="D4" s="9"/>
      <c r="E4" s="9"/>
      <c r="F4" s="9"/>
      <c r="G4" s="9"/>
      <c r="H4" s="9"/>
      <c r="I4" s="10"/>
      <c r="J4" s="10"/>
      <c r="K4" s="11"/>
      <c r="L4" s="3"/>
      <c r="N4" s="12"/>
    </row>
    <row r="5" spans="1:148" ht="14.25" customHeight="1">
      <c r="A5" s="13"/>
      <c r="B5" s="14" t="s">
        <v>340</v>
      </c>
      <c r="C5" s="15"/>
      <c r="D5" s="15"/>
      <c r="E5" s="16" t="s">
        <v>341</v>
      </c>
      <c r="F5" s="2908" t="str">
        <f>CONCATENATE('הגדרות כלליות'!D18,".",'הגדרות כלליות'!D10)</f>
        <v>31.12.2015</v>
      </c>
      <c r="G5" s="17"/>
      <c r="H5" s="15" t="str">
        <f>CONCATENATE('הגדרות כלליות'!D18,".",'הגדרות כלליות'!D12)</f>
        <v>31.12.2014</v>
      </c>
      <c r="I5" s="17"/>
      <c r="J5" s="18"/>
      <c r="K5" s="11"/>
      <c r="L5" s="3"/>
      <c r="N5" s="12"/>
    </row>
    <row r="6" spans="1:148">
      <c r="A6" s="13"/>
      <c r="B6" s="19" t="s">
        <v>342</v>
      </c>
      <c r="C6" s="20"/>
      <c r="D6" s="21"/>
      <c r="E6" s="22"/>
      <c r="F6" s="22"/>
      <c r="G6" s="22"/>
      <c r="H6" s="22"/>
      <c r="I6" s="23"/>
      <c r="J6" s="24"/>
      <c r="K6" s="25"/>
      <c r="L6" s="3"/>
    </row>
    <row r="7" spans="1:148">
      <c r="A7" s="13"/>
      <c r="B7" s="26" t="s">
        <v>343</v>
      </c>
      <c r="C7" s="21"/>
      <c r="D7" s="21"/>
      <c r="E7" s="37" t="s">
        <v>344</v>
      </c>
      <c r="F7" s="27">
        <f>'ביאור 3'!C17</f>
        <v>241859</v>
      </c>
      <c r="G7" s="28"/>
      <c r="H7" s="27">
        <f>'ביאור 3'!E17</f>
        <v>177058</v>
      </c>
      <c r="I7" s="234"/>
      <c r="J7" s="30"/>
      <c r="K7" s="31"/>
      <c r="L7" s="3"/>
    </row>
    <row r="8" spans="1:148">
      <c r="A8" s="13"/>
      <c r="B8" s="32" t="s">
        <v>345</v>
      </c>
      <c r="C8" s="21"/>
      <c r="D8" s="33"/>
      <c r="E8" s="37" t="s">
        <v>346</v>
      </c>
      <c r="F8" s="34">
        <f>'ביאור 3'!C39</f>
        <v>11305</v>
      </c>
      <c r="G8" s="35"/>
      <c r="H8" s="34">
        <f>'ביאור 3'!E39</f>
        <v>11150</v>
      </c>
      <c r="I8" s="234"/>
      <c r="J8" s="30"/>
      <c r="K8" s="31"/>
      <c r="L8" s="3"/>
    </row>
    <row r="9" spans="1:148">
      <c r="A9" s="13"/>
      <c r="B9" s="26" t="s">
        <v>347</v>
      </c>
      <c r="C9" s="21"/>
      <c r="D9" s="21"/>
      <c r="E9" s="37" t="s">
        <v>349</v>
      </c>
      <c r="F9" s="3301">
        <f>'ביאור 3'!C47</f>
        <v>1038</v>
      </c>
      <c r="G9" s="35"/>
      <c r="H9" s="3301">
        <f>'ביאור 3'!E47</f>
        <v>293</v>
      </c>
      <c r="I9" s="234"/>
      <c r="J9" s="30"/>
      <c r="K9" s="31"/>
      <c r="L9" s="3"/>
    </row>
    <row r="10" spans="1:148">
      <c r="A10" s="13"/>
      <c r="B10" s="26" t="s">
        <v>672</v>
      </c>
      <c r="C10" s="21"/>
      <c r="D10" s="21"/>
      <c r="E10" s="37" t="s">
        <v>2597</v>
      </c>
      <c r="F10" s="228"/>
      <c r="G10" s="59"/>
      <c r="H10" s="228">
        <v>53309</v>
      </c>
      <c r="I10" s="234"/>
      <c r="J10" s="30"/>
      <c r="K10" s="31"/>
      <c r="L10" s="3"/>
    </row>
    <row r="11" spans="1:148">
      <c r="A11" s="13"/>
      <c r="B11" s="36"/>
      <c r="C11" s="21"/>
      <c r="D11" s="21"/>
      <c r="E11" s="37" t="s">
        <v>350</v>
      </c>
      <c r="F11" s="3302"/>
      <c r="G11" s="35"/>
      <c r="H11" s="3302"/>
      <c r="I11" s="234"/>
      <c r="J11" s="30"/>
      <c r="K11" s="31"/>
      <c r="L11" s="3"/>
    </row>
    <row r="12" spans="1:148">
      <c r="A12" s="13"/>
      <c r="B12" s="26"/>
      <c r="C12" s="21"/>
      <c r="D12" s="21"/>
      <c r="E12" s="21"/>
      <c r="F12" s="39">
        <f>SUM(F7:F11)</f>
        <v>254202</v>
      </c>
      <c r="G12" s="28"/>
      <c r="H12" s="39">
        <f>SUM(H7:H11)</f>
        <v>241810</v>
      </c>
      <c r="I12" s="234"/>
      <c r="J12" s="30"/>
      <c r="K12" s="31"/>
      <c r="L12" s="3"/>
    </row>
    <row r="13" spans="1:148">
      <c r="A13" s="13"/>
      <c r="B13" s="26"/>
      <c r="C13" s="21"/>
      <c r="D13" s="21"/>
      <c r="E13" s="21"/>
      <c r="F13" s="35"/>
      <c r="G13" s="28"/>
      <c r="H13" s="35"/>
      <c r="I13" s="29"/>
      <c r="J13" s="30"/>
      <c r="K13" s="31"/>
      <c r="L13" s="3"/>
    </row>
    <row r="14" spans="1:148">
      <c r="A14" s="13"/>
      <c r="B14" s="40" t="s">
        <v>350</v>
      </c>
      <c r="C14" s="33"/>
      <c r="D14" s="33"/>
      <c r="E14" s="37" t="s">
        <v>350</v>
      </c>
      <c r="F14" s="41"/>
      <c r="G14" s="35"/>
      <c r="H14" s="41"/>
      <c r="I14" s="234"/>
      <c r="J14" s="30"/>
      <c r="K14" s="31"/>
      <c r="L14" s="3"/>
    </row>
    <row r="15" spans="1:148">
      <c r="A15" s="13"/>
      <c r="B15" s="26"/>
      <c r="C15" s="21"/>
      <c r="D15" s="21"/>
      <c r="E15" s="21"/>
      <c r="F15" s="35"/>
      <c r="G15" s="28"/>
      <c r="H15" s="35"/>
      <c r="I15" s="29"/>
      <c r="J15" s="30"/>
      <c r="K15" s="31"/>
      <c r="L15" s="3"/>
    </row>
    <row r="16" spans="1:148" ht="29.25" customHeight="1">
      <c r="A16" s="13"/>
      <c r="B16" s="3364" t="s">
        <v>351</v>
      </c>
      <c r="C16" s="3365"/>
      <c r="D16" s="3365"/>
      <c r="E16" s="37">
        <v>21</v>
      </c>
      <c r="F16" s="41">
        <v>438351</v>
      </c>
      <c r="G16" s="28"/>
      <c r="H16" s="41">
        <v>304624</v>
      </c>
      <c r="I16" s="234"/>
      <c r="J16" s="30"/>
      <c r="K16" s="31"/>
      <c r="L16" s="3"/>
    </row>
    <row r="17" spans="1:12" ht="15" customHeight="1">
      <c r="A17" s="13"/>
      <c r="B17" s="26"/>
      <c r="C17" s="21"/>
      <c r="D17" s="21"/>
      <c r="E17" s="21"/>
      <c r="F17" s="35"/>
      <c r="G17" s="35"/>
      <c r="H17" s="35"/>
      <c r="I17" s="29"/>
      <c r="J17" s="30"/>
      <c r="K17" s="31"/>
      <c r="L17" s="3"/>
    </row>
    <row r="18" spans="1:12" ht="15" customHeight="1">
      <c r="A18" s="13"/>
      <c r="B18" s="19" t="s">
        <v>53</v>
      </c>
      <c r="C18" s="33"/>
      <c r="D18" s="33"/>
      <c r="E18" s="37" t="s">
        <v>353</v>
      </c>
      <c r="F18" s="42">
        <f>'ביאור 3'!C62</f>
        <v>8817</v>
      </c>
      <c r="G18" s="35"/>
      <c r="H18" s="42">
        <f>'ביאור 3'!E62</f>
        <v>8494</v>
      </c>
      <c r="I18" s="234"/>
      <c r="J18" s="30"/>
      <c r="K18" s="31"/>
      <c r="L18" s="3"/>
    </row>
    <row r="19" spans="1:12" ht="15" customHeight="1">
      <c r="A19" s="13"/>
      <c r="B19" s="26"/>
      <c r="C19" s="21"/>
      <c r="D19" s="21"/>
      <c r="E19" s="21"/>
      <c r="F19" s="35"/>
      <c r="G19" s="35"/>
      <c r="H19" s="35"/>
      <c r="I19" s="29"/>
      <c r="J19" s="30"/>
      <c r="K19" s="31"/>
      <c r="L19" s="3"/>
    </row>
    <row r="20" spans="1:12">
      <c r="A20" s="13"/>
      <c r="B20" s="3351" t="s">
        <v>54</v>
      </c>
      <c r="C20" s="3352"/>
      <c r="D20" s="3352"/>
      <c r="E20" s="37" t="s">
        <v>370</v>
      </c>
      <c r="F20" s="42">
        <f>'ביאור 3'!C80</f>
        <v>180910</v>
      </c>
      <c r="G20" s="35"/>
      <c r="H20" s="42">
        <f>'ביאור 3'!E80</f>
        <v>180745</v>
      </c>
      <c r="I20" s="234"/>
      <c r="J20" s="30"/>
      <c r="K20" s="31"/>
      <c r="L20" s="3"/>
    </row>
    <row r="21" spans="1:12">
      <c r="A21" s="13"/>
      <c r="B21" s="26"/>
      <c r="C21" s="21"/>
      <c r="D21" s="21"/>
      <c r="E21" s="21"/>
      <c r="F21" s="35"/>
      <c r="G21" s="35"/>
      <c r="H21" s="35"/>
      <c r="I21" s="29"/>
      <c r="J21" s="30"/>
      <c r="K21" s="31"/>
      <c r="L21" s="3"/>
    </row>
    <row r="22" spans="1:12">
      <c r="A22" s="13"/>
      <c r="B22" s="40" t="s">
        <v>350</v>
      </c>
      <c r="C22" s="33"/>
      <c r="D22" s="33"/>
      <c r="E22" s="37" t="s">
        <v>350</v>
      </c>
      <c r="F22" s="41"/>
      <c r="G22" s="35"/>
      <c r="H22" s="41"/>
      <c r="I22" s="234"/>
      <c r="J22" s="30"/>
      <c r="K22" s="31"/>
      <c r="L22" s="3"/>
    </row>
    <row r="23" spans="1:12">
      <c r="A23" s="13"/>
      <c r="B23" s="26"/>
      <c r="C23" s="21"/>
      <c r="D23" s="21"/>
      <c r="E23" s="21"/>
      <c r="F23" s="35"/>
      <c r="G23" s="35"/>
      <c r="H23" s="35"/>
      <c r="I23" s="29"/>
      <c r="J23" s="30"/>
      <c r="K23" s="31"/>
      <c r="L23" s="3"/>
    </row>
    <row r="24" spans="1:12">
      <c r="A24" s="13"/>
      <c r="B24" s="19" t="s">
        <v>354</v>
      </c>
      <c r="C24" s="21"/>
      <c r="D24" s="21"/>
      <c r="E24" s="21"/>
      <c r="F24" s="28"/>
      <c r="G24" s="28"/>
      <c r="H24" s="28"/>
      <c r="I24" s="29"/>
      <c r="J24" s="30"/>
      <c r="K24" s="31"/>
      <c r="L24" s="3"/>
    </row>
    <row r="25" spans="1:12">
      <c r="A25" s="13"/>
      <c r="B25" s="26" t="str">
        <f>IF(OR(AND(F25&gt;0,H25&gt;0),AND(F25&gt;0,H25=0),AND(F25=0,H25&gt;0)),'נתונים לטופס 1'!A44,IF(OR(AND(F25&lt;0,H25&lt;0),AND(F25&lt;0,H25=0),AND(F25=0,H25&lt;0)),'נתונים לטופס 1'!A43,IF(F25&gt;0,'נתונים לטופס 1'!A46,'נתונים לטופס 1'!A45)))</f>
        <v>עודף (גרעון) לתחילת השנה</v>
      </c>
      <c r="C25" s="21"/>
      <c r="D25" s="21"/>
      <c r="E25" s="37" t="s">
        <v>350</v>
      </c>
      <c r="F25" s="27">
        <f>IF('נתונים לטופס 1'!$E$24&gt;=0,'נתונים לטופס 1'!E20, 0)</f>
        <v>0</v>
      </c>
      <c r="G25" s="28"/>
      <c r="H25" s="27">
        <f>IF('נתונים לטופס 1'!$H$24&gt;=0,'נתונים לטופס 1'!H20, 0)</f>
        <v>0</v>
      </c>
      <c r="I25" s="234"/>
      <c r="J25" s="30"/>
      <c r="K25" s="31"/>
      <c r="L25" s="3"/>
    </row>
    <row r="26" spans="1:12">
      <c r="A26" s="13"/>
      <c r="B26" s="26" t="str">
        <f>'נתונים לטופס 1'!A59</f>
        <v>שינויים ביתרה לתחילת השנה</v>
      </c>
      <c r="C26" s="21"/>
      <c r="D26" s="21"/>
      <c r="E26" s="37" t="s">
        <v>1517</v>
      </c>
      <c r="F26" s="34">
        <f>IF('נתונים לטופס 1'!$E$24&gt;=0,'נתונים לטופס 1'!E21, 0)</f>
        <v>0</v>
      </c>
      <c r="G26" s="28"/>
      <c r="H26" s="34">
        <f>IF('נתונים לטופס 1'!$H$24&gt;=0,'נתונים לטופס 1'!H21, 0)</f>
        <v>0</v>
      </c>
      <c r="I26" s="234"/>
      <c r="J26" s="30"/>
      <c r="K26" s="31"/>
      <c r="L26" s="3"/>
    </row>
    <row r="27" spans="1:12">
      <c r="A27" s="13"/>
      <c r="B27" s="26" t="str">
        <f>IF(OR(AND(F27&gt;0,H27&gt;0),AND(F27&gt;0,H27=0),AND(F27=0,H27&gt;0)),'נתונים לטופס 1'!A50,IF(OR(AND(F27&lt;0,H27&lt;0),AND(F27&lt;0,H27=0),AND(F27=0,H27&lt;0)),'נתונים לטופס 1'!A49,IF(F27&gt;0,'נתונים לטופס 1'!A52,'נתונים לטופס 1'!A51)))</f>
        <v>(עודף) גרעון בשנת הדוח</v>
      </c>
      <c r="C27" s="21"/>
      <c r="D27" s="21"/>
      <c r="E27" s="37" t="s">
        <v>1213</v>
      </c>
      <c r="F27" s="34">
        <f>IF('נתונים לטופס 1'!$E$24&gt;=0,'נתונים לטופס 1'!E22, 0)</f>
        <v>0</v>
      </c>
      <c r="G27" s="28"/>
      <c r="H27" s="34">
        <f>IF('נתונים לטופס 1'!$H$24&gt;=0,'נתונים לטופס 1'!H22, 0)</f>
        <v>0</v>
      </c>
      <c r="I27" s="234"/>
      <c r="J27" s="30"/>
      <c r="K27" s="31"/>
      <c r="L27" s="3"/>
    </row>
    <row r="28" spans="1:12">
      <c r="A28" s="13"/>
      <c r="B28" s="26" t="s">
        <v>355</v>
      </c>
      <c r="C28" s="21"/>
      <c r="D28" s="21"/>
      <c r="E28" s="37" t="s">
        <v>350</v>
      </c>
      <c r="F28" s="43">
        <f>IF('נתונים לטופס 1'!$E$24&gt;=0,'נתונים לטופס 1'!E23, 0)</f>
        <v>0</v>
      </c>
      <c r="G28" s="28"/>
      <c r="H28" s="43">
        <f>IF('נתונים לטופס 1'!$H$24&gt;=0,'נתונים לטופס 1'!H23, 0)</f>
        <v>0</v>
      </c>
      <c r="I28" s="234"/>
      <c r="J28" s="44"/>
      <c r="K28" s="45"/>
      <c r="L28" s="46"/>
    </row>
    <row r="29" spans="1:12">
      <c r="A29" s="13"/>
      <c r="B29" s="26" t="s">
        <v>356</v>
      </c>
      <c r="C29" s="21"/>
      <c r="D29" s="21"/>
      <c r="E29" s="37" t="s">
        <v>350</v>
      </c>
      <c r="F29" s="47">
        <f>IF('נתונים לטופס 1'!$E$24&gt;=0,'נתונים לטופס 1'!E24, 0)</f>
        <v>0</v>
      </c>
      <c r="G29" s="28"/>
      <c r="H29" s="47">
        <f>IF('נתונים לטופס 1'!$H$24&gt;=0,'נתונים לטופס 1'!H24, 0)</f>
        <v>0</v>
      </c>
      <c r="I29" s="234"/>
      <c r="J29" s="30"/>
      <c r="K29" s="31"/>
      <c r="L29" s="3"/>
    </row>
    <row r="30" spans="1:12">
      <c r="A30" s="13"/>
      <c r="B30" s="26"/>
      <c r="C30" s="21"/>
      <c r="D30" s="21"/>
      <c r="E30" s="21"/>
      <c r="F30" s="35"/>
      <c r="G30" s="28"/>
      <c r="H30" s="35"/>
      <c r="I30" s="29"/>
      <c r="J30" s="30"/>
      <c r="K30" s="31"/>
      <c r="L30" s="3"/>
    </row>
    <row r="31" spans="1:12">
      <c r="A31" s="13"/>
      <c r="B31" s="3351" t="s">
        <v>357</v>
      </c>
      <c r="C31" s="3352"/>
      <c r="D31" s="33"/>
      <c r="E31" s="37" t="s">
        <v>350</v>
      </c>
      <c r="F31" s="41"/>
      <c r="G31" s="35"/>
      <c r="H31" s="41"/>
      <c r="I31" s="234"/>
      <c r="J31" s="30"/>
      <c r="K31" s="31"/>
      <c r="L31" s="3"/>
    </row>
    <row r="32" spans="1:12">
      <c r="A32" s="13"/>
      <c r="B32" s="26"/>
      <c r="C32" s="21"/>
      <c r="D32" s="21"/>
      <c r="E32" s="21"/>
      <c r="F32" s="35"/>
      <c r="G32" s="28"/>
      <c r="H32" s="35"/>
      <c r="I32" s="29"/>
      <c r="J32" s="30"/>
      <c r="K32" s="31"/>
      <c r="L32" s="3"/>
    </row>
    <row r="33" spans="1:12">
      <c r="A33" s="13"/>
      <c r="B33" s="19" t="s">
        <v>358</v>
      </c>
      <c r="C33" s="21"/>
      <c r="D33" s="21"/>
      <c r="E33" s="37" t="s">
        <v>350</v>
      </c>
      <c r="F33" s="41"/>
      <c r="G33" s="28"/>
      <c r="H33" s="41"/>
      <c r="I33" s="234"/>
      <c r="J33" s="30"/>
      <c r="K33" s="31"/>
      <c r="L33" s="3"/>
    </row>
    <row r="34" spans="1:12">
      <c r="A34" s="13"/>
      <c r="B34" s="3349" t="s">
        <v>350</v>
      </c>
      <c r="C34" s="3350"/>
      <c r="D34" s="21"/>
      <c r="E34" s="37" t="s">
        <v>350</v>
      </c>
      <c r="F34" s="41"/>
      <c r="G34" s="28"/>
      <c r="H34" s="41"/>
      <c r="I34" s="234"/>
      <c r="J34" s="44"/>
      <c r="K34" s="45"/>
      <c r="L34" s="46"/>
    </row>
    <row r="35" spans="1:12">
      <c r="A35" s="13"/>
      <c r="B35" s="26"/>
      <c r="C35" s="21"/>
      <c r="D35" s="21"/>
      <c r="E35" s="21"/>
      <c r="F35" s="28"/>
      <c r="G35" s="28"/>
      <c r="H35" s="28"/>
      <c r="I35" s="29"/>
      <c r="J35" s="30"/>
      <c r="K35" s="31"/>
      <c r="L35" s="3"/>
    </row>
    <row r="36" spans="1:12">
      <c r="A36" s="13"/>
      <c r="B36" s="3351" t="s">
        <v>359</v>
      </c>
      <c r="C36" s="3359"/>
      <c r="D36" s="21"/>
      <c r="E36" s="21" t="s">
        <v>380</v>
      </c>
      <c r="F36" s="42">
        <f>IF('טופס 3'!$G$39&lt;0,-1* ('טופס 3'!$G$39),0)</f>
        <v>0</v>
      </c>
      <c r="G36" s="28"/>
      <c r="H36" s="42">
        <f>IF('טופס 3'!$I$39&lt;0,-1*('טופס 3'!$I$39),0)</f>
        <v>0</v>
      </c>
      <c r="I36" s="234"/>
      <c r="J36" s="30"/>
      <c r="K36" s="31"/>
      <c r="L36" s="3"/>
    </row>
    <row r="37" spans="1:12">
      <c r="A37" s="13"/>
      <c r="B37" s="3349" t="s">
        <v>350</v>
      </c>
      <c r="C37" s="3360"/>
      <c r="D37" s="21"/>
      <c r="E37" s="37" t="s">
        <v>350</v>
      </c>
      <c r="F37" s="41"/>
      <c r="G37" s="28"/>
      <c r="H37" s="41"/>
      <c r="I37" s="234"/>
      <c r="J37" s="44"/>
      <c r="K37" s="45"/>
      <c r="L37" s="46"/>
    </row>
    <row r="38" spans="1:12">
      <c r="A38" s="13"/>
      <c r="B38" s="48"/>
      <c r="C38" s="21"/>
      <c r="D38" s="21"/>
      <c r="E38" s="22"/>
      <c r="F38" s="35"/>
      <c r="G38" s="28"/>
      <c r="H38" s="35"/>
      <c r="I38" s="29"/>
      <c r="J38" s="30"/>
      <c r="K38" s="31"/>
      <c r="L38" s="3"/>
    </row>
    <row r="39" spans="1:12" ht="16.2" thickBot="1">
      <c r="A39" s="13"/>
      <c r="B39" s="48"/>
      <c r="C39" s="21"/>
      <c r="D39" s="21"/>
      <c r="E39" s="22"/>
      <c r="F39" s="49">
        <f>F12+F14+F16+F18+F20+F22+F29+F31+F33+F34+F36+F37</f>
        <v>882280</v>
      </c>
      <c r="G39" s="50" t="s">
        <v>360</v>
      </c>
      <c r="H39" s="49">
        <f>H12+H14+H16+H18+H20+H22+H29+H31+H33+H34+H36+H37</f>
        <v>735673</v>
      </c>
      <c r="I39" s="234"/>
      <c r="J39" s="3357" t="s">
        <v>361</v>
      </c>
      <c r="K39" s="3358"/>
      <c r="L39" s="3"/>
    </row>
    <row r="40" spans="1:12" ht="16.2" thickTop="1">
      <c r="A40" s="13"/>
      <c r="B40" s="26"/>
      <c r="C40" s="21"/>
      <c r="D40" s="21"/>
      <c r="E40" s="22"/>
      <c r="F40" s="35"/>
      <c r="G40" s="28"/>
      <c r="H40" s="35"/>
      <c r="I40" s="51"/>
      <c r="J40" s="52">
        <f>'הגדרות כלליות'!D10</f>
        <v>2015</v>
      </c>
      <c r="K40" s="53">
        <f>'הגדרות כלליות'!D12</f>
        <v>2014</v>
      </c>
      <c r="L40" s="3"/>
    </row>
    <row r="41" spans="1:12">
      <c r="A41" s="13"/>
      <c r="B41" s="19" t="s">
        <v>362</v>
      </c>
      <c r="C41" s="21"/>
      <c r="D41" s="21"/>
      <c r="E41" s="54"/>
      <c r="F41" s="28"/>
      <c r="G41" s="55"/>
      <c r="H41" s="28"/>
      <c r="I41" s="51"/>
      <c r="J41" s="56">
        <f>F39-'טופס 1 פאסיב'!G36</f>
        <v>0</v>
      </c>
      <c r="K41" s="57">
        <f>H39-'טופס 1 פאסיב'!I36</f>
        <v>0</v>
      </c>
      <c r="L41" s="3"/>
    </row>
    <row r="42" spans="1:12" ht="16.2" thickBot="1">
      <c r="A42" s="13"/>
      <c r="B42" s="48" t="s">
        <v>363</v>
      </c>
      <c r="C42" s="21"/>
      <c r="D42" s="21"/>
      <c r="E42" s="21" t="s">
        <v>1255</v>
      </c>
      <c r="F42" s="58">
        <f>'נספח 3 לטופס 1'!I14</f>
        <v>128428</v>
      </c>
      <c r="G42" s="59"/>
      <c r="H42" s="58">
        <f>'נספח 3 לטופס 1'!K14</f>
        <v>158119</v>
      </c>
      <c r="I42" s="234"/>
      <c r="J42" s="30"/>
      <c r="K42" s="31"/>
      <c r="L42" s="3"/>
    </row>
    <row r="43" spans="1:12" ht="16.2" thickTop="1">
      <c r="A43" s="13"/>
      <c r="B43" s="48"/>
      <c r="C43" s="21"/>
      <c r="D43" s="21"/>
      <c r="E43" s="22"/>
      <c r="F43" s="59"/>
      <c r="G43" s="59"/>
      <c r="H43" s="59"/>
      <c r="I43" s="29"/>
      <c r="J43" s="30"/>
      <c r="K43" s="31"/>
      <c r="L43" s="3"/>
    </row>
    <row r="44" spans="1:12">
      <c r="A44" s="13"/>
      <c r="B44" s="48" t="s">
        <v>364</v>
      </c>
      <c r="C44" s="60"/>
      <c r="D44" s="60"/>
      <c r="E44" s="21" t="s">
        <v>1210</v>
      </c>
      <c r="F44" s="61"/>
      <c r="G44" s="59"/>
      <c r="H44" s="61"/>
      <c r="I44" s="234"/>
      <c r="J44" s="30"/>
      <c r="K44" s="31"/>
      <c r="L44" s="3"/>
    </row>
    <row r="45" spans="1:12">
      <c r="A45" s="13"/>
      <c r="B45" s="26" t="s">
        <v>365</v>
      </c>
      <c r="C45" s="21"/>
      <c r="D45" s="21"/>
      <c r="E45" s="22"/>
      <c r="F45" s="62">
        <v>561547</v>
      </c>
      <c r="G45" s="59"/>
      <c r="H45" s="62">
        <v>597322</v>
      </c>
      <c r="I45" s="234"/>
      <c r="J45" s="30"/>
      <c r="K45" s="31"/>
      <c r="L45" s="3"/>
    </row>
    <row r="46" spans="1:12">
      <c r="A46" s="13"/>
      <c r="B46" s="26" t="s">
        <v>366</v>
      </c>
      <c r="C46" s="21"/>
      <c r="D46" s="21"/>
      <c r="E46" s="22"/>
      <c r="F46" s="38">
        <v>22202</v>
      </c>
      <c r="G46" s="59"/>
      <c r="H46" s="38">
        <v>27771</v>
      </c>
      <c r="I46" s="234"/>
      <c r="J46" s="30"/>
      <c r="K46" s="31"/>
      <c r="L46" s="3"/>
    </row>
    <row r="47" spans="1:12" ht="16.2" thickBot="1">
      <c r="A47" s="13"/>
      <c r="B47" s="26"/>
      <c r="C47" s="21"/>
      <c r="D47" s="21"/>
      <c r="E47" s="21"/>
      <c r="F47" s="63">
        <f>SUM(F44:F46)</f>
        <v>583749</v>
      </c>
      <c r="G47" s="59"/>
      <c r="H47" s="63">
        <f>SUM(H44:H46)</f>
        <v>625093</v>
      </c>
      <c r="I47" s="234"/>
      <c r="J47" s="30"/>
      <c r="K47" s="31"/>
      <c r="L47" s="3"/>
    </row>
    <row r="48" spans="1:12" ht="16.2" thickTop="1">
      <c r="A48" s="13"/>
      <c r="B48" s="2594" t="s">
        <v>350</v>
      </c>
      <c r="C48" s="64"/>
      <c r="D48" s="64"/>
      <c r="E48" s="64"/>
      <c r="F48" s="65"/>
      <c r="G48" s="65"/>
      <c r="H48" s="65"/>
      <c r="I48" s="65"/>
      <c r="J48" s="66"/>
      <c r="K48" s="31"/>
      <c r="L48" s="3"/>
    </row>
    <row r="49" spans="1:12" ht="24.75" customHeight="1" thickBot="1">
      <c r="A49" s="67"/>
      <c r="B49" s="68"/>
      <c r="C49" s="68"/>
      <c r="D49" s="68"/>
      <c r="E49" s="3355"/>
      <c r="F49" s="3355"/>
      <c r="G49" s="3355"/>
      <c r="H49" s="3355"/>
      <c r="I49" s="3355"/>
      <c r="J49" s="3355"/>
      <c r="K49" s="3356"/>
      <c r="L49" s="3"/>
    </row>
    <row r="50" spans="1:12" ht="16.2" thickTop="1">
      <c r="B50" s="69"/>
      <c r="C50" s="69"/>
      <c r="D50" s="69"/>
      <c r="E50" s="69"/>
      <c r="F50" s="69"/>
      <c r="G50" s="69"/>
      <c r="H50" s="69"/>
      <c r="I50" s="69"/>
      <c r="J50" s="70"/>
      <c r="K50" s="70"/>
    </row>
    <row r="100" spans="2:9">
      <c r="B100" s="3353" t="str">
        <f>E1</f>
        <v>עירית הרצליה</v>
      </c>
      <c r="C100" s="3354"/>
      <c r="D100" s="3354"/>
      <c r="E100" s="3354"/>
      <c r="F100" s="3354"/>
      <c r="G100" s="3354"/>
      <c r="H100" s="3354"/>
    </row>
    <row r="101" spans="2:9">
      <c r="B101" s="3353" t="str">
        <f>E2</f>
        <v>מאזן ליום 31 בדצמבר  2015</v>
      </c>
      <c r="C101" s="3354"/>
      <c r="D101" s="3354"/>
      <c r="E101" s="3354"/>
      <c r="F101" s="3354"/>
      <c r="G101" s="3354"/>
      <c r="H101" s="3354"/>
    </row>
    <row r="102" spans="2:9" ht="42" customHeight="1">
      <c r="B102" s="3343" t="str">
        <f>E3</f>
        <v>(אלפי ש"ח)</v>
      </c>
      <c r="C102" s="3344"/>
      <c r="D102" s="3344"/>
      <c r="E102" s="3344"/>
      <c r="F102" s="3344"/>
      <c r="G102" s="3344"/>
      <c r="H102" s="3344"/>
    </row>
    <row r="103" spans="2:9">
      <c r="B103" s="71" t="str">
        <f t="shared" ref="B103:H103" si="0">B5</f>
        <v>נכסים</v>
      </c>
      <c r="C103" s="72">
        <f t="shared" si="0"/>
        <v>0</v>
      </c>
      <c r="D103" s="72">
        <f t="shared" si="0"/>
        <v>0</v>
      </c>
      <c r="E103" s="73" t="str">
        <f t="shared" si="0"/>
        <v>ביאור</v>
      </c>
      <c r="F103" s="2909" t="str">
        <f t="shared" si="0"/>
        <v>31.12.2015</v>
      </c>
      <c r="G103" s="72">
        <f t="shared" si="0"/>
        <v>0</v>
      </c>
      <c r="H103" s="74" t="str">
        <f t="shared" si="0"/>
        <v>31.12.2014</v>
      </c>
    </row>
    <row r="104" spans="2:9">
      <c r="B104" s="74" t="str">
        <f>IF(AND(H110=0,F110=0),"",B6)</f>
        <v>רכוש שוטף</v>
      </c>
      <c r="C104" s="72">
        <f t="shared" ref="C104:I104" si="1">C6</f>
        <v>0</v>
      </c>
      <c r="D104" s="72">
        <f t="shared" si="1"/>
        <v>0</v>
      </c>
      <c r="E104" s="75">
        <f t="shared" si="1"/>
        <v>0</v>
      </c>
      <c r="F104" s="75">
        <f t="shared" si="1"/>
        <v>0</v>
      </c>
      <c r="G104" s="75">
        <f t="shared" si="1"/>
        <v>0</v>
      </c>
      <c r="H104" s="75">
        <f t="shared" si="1"/>
        <v>0</v>
      </c>
      <c r="I104" s="75">
        <f t="shared" si="1"/>
        <v>0</v>
      </c>
    </row>
    <row r="105" spans="2:9">
      <c r="B105" s="72" t="str">
        <f>IF(AND($F7=0,$H7=0),0,$B7)</f>
        <v>נכסים נזילים - קופה ובנקים</v>
      </c>
      <c r="C105" s="72">
        <f t="shared" ref="C105:D108" si="2">C7</f>
        <v>0</v>
      </c>
      <c r="D105" s="72">
        <f t="shared" si="2"/>
        <v>0</v>
      </c>
      <c r="E105" s="72" t="str">
        <f>IF(AND($F7=0,$H7=0),0,E7)</f>
        <v>3 (א)</v>
      </c>
      <c r="F105" s="76">
        <f t="shared" ref="F105:I108" si="3">F7</f>
        <v>241859</v>
      </c>
      <c r="G105" s="77">
        <f t="shared" si="3"/>
        <v>0</v>
      </c>
      <c r="H105" s="76">
        <f t="shared" si="3"/>
        <v>177058</v>
      </c>
      <c r="I105" s="75">
        <f t="shared" si="3"/>
        <v>0</v>
      </c>
    </row>
    <row r="106" spans="2:9">
      <c r="B106" s="72" t="str">
        <f>IF(AND(F8=0,H8=0),0,B8)</f>
        <v>הכנסות מתוקצבות שטרם נגבו</v>
      </c>
      <c r="C106" s="72">
        <f t="shared" si="2"/>
        <v>0</v>
      </c>
      <c r="D106" s="78">
        <f t="shared" si="2"/>
        <v>0</v>
      </c>
      <c r="E106" s="72" t="str">
        <f>IF(AND($F8=0,$H8=0),0,E8)</f>
        <v>3 (ב)</v>
      </c>
      <c r="F106" s="76">
        <f t="shared" si="3"/>
        <v>11305</v>
      </c>
      <c r="G106" s="79">
        <f t="shared" si="3"/>
        <v>0</v>
      </c>
      <c r="H106" s="76">
        <f t="shared" si="3"/>
        <v>11150</v>
      </c>
      <c r="I106" s="75">
        <f t="shared" si="3"/>
        <v>0</v>
      </c>
    </row>
    <row r="107" spans="2:9">
      <c r="B107" s="72" t="str">
        <f>IF(AND(F9=0,H9=0),0,B9)</f>
        <v>חייבים - תשלומים לא מתוקצבים</v>
      </c>
      <c r="C107" s="72">
        <f t="shared" si="2"/>
        <v>0</v>
      </c>
      <c r="D107" s="72">
        <f t="shared" si="2"/>
        <v>0</v>
      </c>
      <c r="E107" s="72" t="str">
        <f>IF(AND($F9=0,$H9=0),0,E9)</f>
        <v>3 (ג)</v>
      </c>
      <c r="F107" s="76">
        <f t="shared" si="3"/>
        <v>1038</v>
      </c>
      <c r="G107" s="79">
        <f t="shared" si="3"/>
        <v>0</v>
      </c>
      <c r="H107" s="76">
        <f t="shared" si="3"/>
        <v>293</v>
      </c>
      <c r="I107" s="75">
        <f t="shared" si="3"/>
        <v>0</v>
      </c>
    </row>
    <row r="108" spans="2:9">
      <c r="B108" s="72" t="str">
        <f>IF(AND($F10=0,$H10=0),0,$B10)</f>
        <v>ניירות ערך סחירים</v>
      </c>
      <c r="C108" s="72">
        <f t="shared" si="2"/>
        <v>0</v>
      </c>
      <c r="D108" s="72">
        <f t="shared" si="2"/>
        <v>0</v>
      </c>
      <c r="E108" s="72" t="str">
        <f>IF(AND($F10=0,$H10=0),0,E10)</f>
        <v>2 (ו),21</v>
      </c>
      <c r="F108" s="76">
        <f t="shared" si="3"/>
        <v>0</v>
      </c>
      <c r="G108" s="79">
        <f t="shared" si="3"/>
        <v>0</v>
      </c>
      <c r="H108" s="76">
        <f t="shared" si="3"/>
        <v>53309</v>
      </c>
      <c r="I108" s="75">
        <f t="shared" si="3"/>
        <v>0</v>
      </c>
    </row>
    <row r="109" spans="2:9">
      <c r="B109" s="72" t="str">
        <f>IF(AND($B11&lt;&gt;"(***)",OR($F11&lt;&gt;0,$H11&lt;&gt;0)),$B11,"")</f>
        <v/>
      </c>
      <c r="C109" s="72"/>
      <c r="D109" s="72"/>
      <c r="E109" s="72" t="str">
        <f>IF(AND($E11&lt;&gt;"(***)",OR($F11&lt;&gt;0,$H11&lt;&gt;0)),$E11,"")</f>
        <v/>
      </c>
      <c r="F109" s="76">
        <f t="shared" ref="F109:H125" si="4">F11</f>
        <v>0</v>
      </c>
      <c r="G109" s="79">
        <f t="shared" si="4"/>
        <v>0</v>
      </c>
      <c r="H109" s="76">
        <f t="shared" si="4"/>
        <v>0</v>
      </c>
      <c r="I109" s="75">
        <f t="shared" ref="I109:I145" si="5">I11</f>
        <v>0</v>
      </c>
    </row>
    <row r="110" spans="2:9">
      <c r="B110" s="72">
        <f t="shared" ref="B110:E111" si="6">B12</f>
        <v>0</v>
      </c>
      <c r="C110" s="72">
        <f t="shared" si="6"/>
        <v>0</v>
      </c>
      <c r="D110" s="72">
        <f t="shared" si="6"/>
        <v>0</v>
      </c>
      <c r="E110" s="72">
        <f t="shared" si="6"/>
        <v>0</v>
      </c>
      <c r="F110" s="169">
        <f t="shared" si="4"/>
        <v>254202</v>
      </c>
      <c r="G110" s="77">
        <f t="shared" si="4"/>
        <v>0</v>
      </c>
      <c r="H110" s="169">
        <f t="shared" si="4"/>
        <v>241810</v>
      </c>
      <c r="I110" s="75">
        <f t="shared" si="5"/>
        <v>0</v>
      </c>
    </row>
    <row r="111" spans="2:9">
      <c r="B111" s="72">
        <f t="shared" si="6"/>
        <v>0</v>
      </c>
      <c r="C111" s="72">
        <f t="shared" si="6"/>
        <v>0</v>
      </c>
      <c r="D111" s="72">
        <f t="shared" si="6"/>
        <v>0</v>
      </c>
      <c r="E111" s="72">
        <f t="shared" si="6"/>
        <v>0</v>
      </c>
      <c r="F111" s="79">
        <f t="shared" si="4"/>
        <v>0</v>
      </c>
      <c r="G111" s="77">
        <f t="shared" si="4"/>
        <v>0</v>
      </c>
      <c r="H111" s="79">
        <f t="shared" si="4"/>
        <v>0</v>
      </c>
      <c r="I111" s="75">
        <f t="shared" si="5"/>
        <v>0</v>
      </c>
    </row>
    <row r="112" spans="2:9">
      <c r="B112" s="72" t="str">
        <f>IF(AND($B14&lt;&gt;"(***)",OR($F14&lt;&gt;0,$H14&lt;&gt;0)),$B14,"")</f>
        <v/>
      </c>
      <c r="C112" s="78">
        <f>C14</f>
        <v>0</v>
      </c>
      <c r="D112" s="78">
        <f>D14</f>
        <v>0</v>
      </c>
      <c r="E112" s="72" t="str">
        <f>IF(AND($E14&lt;&gt;"(***)",OR($F14&lt;&gt;0,$H14&lt;&gt;0)),$E14,"")</f>
        <v/>
      </c>
      <c r="F112" s="80">
        <f t="shared" si="4"/>
        <v>0</v>
      </c>
      <c r="G112" s="79">
        <f t="shared" si="4"/>
        <v>0</v>
      </c>
      <c r="H112" s="80">
        <f t="shared" si="4"/>
        <v>0</v>
      </c>
      <c r="I112" s="75">
        <f t="shared" si="5"/>
        <v>0</v>
      </c>
    </row>
    <row r="113" spans="2:9">
      <c r="B113" s="72">
        <f>B15</f>
        <v>0</v>
      </c>
      <c r="C113" s="72">
        <f>C15</f>
        <v>0</v>
      </c>
      <c r="D113" s="72">
        <f>D15</f>
        <v>0</v>
      </c>
      <c r="E113" s="72">
        <f>E15</f>
        <v>0</v>
      </c>
      <c r="F113" s="79">
        <f t="shared" si="4"/>
        <v>0</v>
      </c>
      <c r="G113" s="77">
        <f t="shared" si="4"/>
        <v>0</v>
      </c>
      <c r="H113" s="79">
        <f t="shared" si="4"/>
        <v>0</v>
      </c>
      <c r="I113" s="75">
        <f t="shared" si="5"/>
        <v>0</v>
      </c>
    </row>
    <row r="114" spans="2:9" ht="33" customHeight="1">
      <c r="B114" s="3345" t="str">
        <f>IF(AND($F16=0,$H16=0),0,$B16)</f>
        <v>השקעות מיועדות לכיסוי קרנות לעבודות פיתוח ולעודפים זמניים בתקציבים בלתי רגילים</v>
      </c>
      <c r="C114" s="3346"/>
      <c r="D114" s="3346"/>
      <c r="E114" s="72">
        <f>IF(AND($E16&lt;&gt;"(***)",OR($F16&lt;&gt;0,$H16&lt;&gt;0)),$E16,"")</f>
        <v>21</v>
      </c>
      <c r="F114" s="80">
        <f t="shared" si="4"/>
        <v>438351</v>
      </c>
      <c r="G114" s="77">
        <f t="shared" si="4"/>
        <v>0</v>
      </c>
      <c r="H114" s="80">
        <f t="shared" si="4"/>
        <v>304624</v>
      </c>
      <c r="I114" s="75">
        <f t="shared" si="5"/>
        <v>0</v>
      </c>
    </row>
    <row r="115" spans="2:9">
      <c r="B115" s="72">
        <f>B17</f>
        <v>0</v>
      </c>
      <c r="C115" s="72">
        <f>C17</f>
        <v>0</v>
      </c>
      <c r="D115" s="72">
        <f>D17</f>
        <v>0</v>
      </c>
      <c r="E115" s="72">
        <f>E17</f>
        <v>0</v>
      </c>
      <c r="F115" s="79">
        <f t="shared" si="4"/>
        <v>0</v>
      </c>
      <c r="G115" s="79">
        <f t="shared" si="4"/>
        <v>0</v>
      </c>
      <c r="H115" s="79">
        <f t="shared" si="4"/>
        <v>0</v>
      </c>
      <c r="I115" s="75">
        <f t="shared" si="5"/>
        <v>0</v>
      </c>
    </row>
    <row r="116" spans="2:9">
      <c r="B116" s="71" t="str">
        <f>IF(AND($B18&lt;&gt;"(***)",OR($F18&lt;&gt;0,$H18&lt;&gt;0)),$B18,"")</f>
        <v>השקעות במימון קרנות בלתי מתוקצבות</v>
      </c>
      <c r="C116" s="78">
        <f>C18</f>
        <v>0</v>
      </c>
      <c r="D116" s="78">
        <f>D18</f>
        <v>0</v>
      </c>
      <c r="E116" s="72" t="str">
        <f>IF(AND($E18&lt;&gt;"(***)",OR($F18&lt;&gt;0,$H18&lt;&gt;0)),$E18,"")</f>
        <v>3 (ד)</v>
      </c>
      <c r="F116" s="80">
        <f t="shared" si="4"/>
        <v>8817</v>
      </c>
      <c r="G116" s="79">
        <f t="shared" si="4"/>
        <v>0</v>
      </c>
      <c r="H116" s="80">
        <f t="shared" si="4"/>
        <v>8494</v>
      </c>
      <c r="I116" s="75">
        <f t="shared" si="5"/>
        <v>0</v>
      </c>
    </row>
    <row r="117" spans="2:9">
      <c r="B117" s="72">
        <f>B19</f>
        <v>0</v>
      </c>
      <c r="C117" s="72">
        <f>C19</f>
        <v>0</v>
      </c>
      <c r="D117" s="72">
        <f>D19</f>
        <v>0</v>
      </c>
      <c r="E117" s="72">
        <f>E19</f>
        <v>0</v>
      </c>
      <c r="F117" s="79">
        <f t="shared" si="4"/>
        <v>0</v>
      </c>
      <c r="G117" s="79">
        <f t="shared" si="4"/>
        <v>0</v>
      </c>
      <c r="H117" s="79">
        <f t="shared" si="4"/>
        <v>0</v>
      </c>
      <c r="I117" s="75">
        <f t="shared" si="5"/>
        <v>0</v>
      </c>
    </row>
    <row r="118" spans="2:9">
      <c r="B118" s="3347" t="str">
        <f>IF(AND($F20=0,$H20=0),0,$B20)</f>
        <v>השקעות במימון קרנות מתוקצבות</v>
      </c>
      <c r="C118" s="3348"/>
      <c r="D118" s="3348"/>
      <c r="E118" s="72" t="str">
        <f>IF(AND($F20=0,$H20=0),0,E20)</f>
        <v>3 (ה)</v>
      </c>
      <c r="F118" s="80">
        <f t="shared" si="4"/>
        <v>180910</v>
      </c>
      <c r="G118" s="79">
        <f t="shared" si="4"/>
        <v>0</v>
      </c>
      <c r="H118" s="80">
        <f t="shared" si="4"/>
        <v>180745</v>
      </c>
      <c r="I118" s="75">
        <f t="shared" si="5"/>
        <v>0</v>
      </c>
    </row>
    <row r="119" spans="2:9">
      <c r="B119" s="72">
        <f>B21</f>
        <v>0</v>
      </c>
      <c r="C119" s="72">
        <f>C21</f>
        <v>0</v>
      </c>
      <c r="D119" s="72">
        <f>D21</f>
        <v>0</v>
      </c>
      <c r="E119" s="72">
        <f>E21</f>
        <v>0</v>
      </c>
      <c r="F119" s="79">
        <f t="shared" si="4"/>
        <v>0</v>
      </c>
      <c r="G119" s="79">
        <f t="shared" si="4"/>
        <v>0</v>
      </c>
      <c r="H119" s="79">
        <f t="shared" si="4"/>
        <v>0</v>
      </c>
      <c r="I119" s="75">
        <f t="shared" si="5"/>
        <v>0</v>
      </c>
    </row>
    <row r="120" spans="2:9">
      <c r="B120" s="71" t="str">
        <f>IF(AND($B22&lt;&gt;"(***)",OR($F22&lt;&gt;0,$H22&lt;&gt;0)),$B22,"")</f>
        <v/>
      </c>
      <c r="C120" s="78">
        <f t="shared" ref="C120:D123" si="7">C22</f>
        <v>0</v>
      </c>
      <c r="D120" s="78">
        <f t="shared" si="7"/>
        <v>0</v>
      </c>
      <c r="E120" s="72" t="str">
        <f>IF(AND($E22&lt;&gt;"(***)",OR($F22&lt;&gt;0,$H22&lt;&gt;0)),$E22,"")</f>
        <v/>
      </c>
      <c r="F120" s="80">
        <f t="shared" si="4"/>
        <v>0</v>
      </c>
      <c r="G120" s="79">
        <f t="shared" si="4"/>
        <v>0</v>
      </c>
      <c r="H120" s="80">
        <f t="shared" si="4"/>
        <v>0</v>
      </c>
      <c r="I120" s="75">
        <f t="shared" si="5"/>
        <v>0</v>
      </c>
    </row>
    <row r="121" spans="2:9">
      <c r="B121" s="72">
        <f>B23</f>
        <v>0</v>
      </c>
      <c r="C121" s="72">
        <f t="shared" si="7"/>
        <v>0</v>
      </c>
      <c r="D121" s="72">
        <f t="shared" si="7"/>
        <v>0</v>
      </c>
      <c r="E121" s="72">
        <f>E23</f>
        <v>0</v>
      </c>
      <c r="F121" s="79">
        <f t="shared" si="4"/>
        <v>0</v>
      </c>
      <c r="G121" s="79">
        <f t="shared" si="4"/>
        <v>0</v>
      </c>
      <c r="H121" s="79">
        <f t="shared" si="4"/>
        <v>0</v>
      </c>
      <c r="I121" s="75">
        <f t="shared" si="5"/>
        <v>0</v>
      </c>
    </row>
    <row r="122" spans="2:9">
      <c r="B122" s="74">
        <f>IF(OR(F126&lt;&gt;0,H126&lt;&gt;0,F125&lt;&gt;0,H125&lt;&gt;0,F124&lt;&gt;0,H124&lt;&gt;0,F123&lt;&gt;0,H123&lt;&gt;0),B24,0)</f>
        <v>0</v>
      </c>
      <c r="C122" s="72">
        <f t="shared" si="7"/>
        <v>0</v>
      </c>
      <c r="D122" s="72">
        <f t="shared" si="7"/>
        <v>0</v>
      </c>
      <c r="E122" s="72">
        <f>E24</f>
        <v>0</v>
      </c>
      <c r="F122" s="77">
        <f t="shared" si="4"/>
        <v>0</v>
      </c>
      <c r="G122" s="77">
        <f t="shared" si="4"/>
        <v>0</v>
      </c>
      <c r="H122" s="77">
        <f t="shared" si="4"/>
        <v>0</v>
      </c>
      <c r="I122" s="75">
        <f t="shared" si="5"/>
        <v>0</v>
      </c>
    </row>
    <row r="123" spans="2:9">
      <c r="B123" s="72">
        <f>IF(AND($F25=0,$H25=0),0,$B25)</f>
        <v>0</v>
      </c>
      <c r="C123" s="72">
        <f t="shared" si="7"/>
        <v>0</v>
      </c>
      <c r="D123" s="72">
        <f t="shared" si="7"/>
        <v>0</v>
      </c>
      <c r="E123" s="72" t="str">
        <f>IF(AND($E25&lt;&gt;"(***)",OR($F25&lt;&gt;0,$H25&lt;&gt;0)),$E25,"")</f>
        <v/>
      </c>
      <c r="F123" s="76">
        <f t="shared" si="4"/>
        <v>0</v>
      </c>
      <c r="G123" s="77">
        <f t="shared" si="4"/>
        <v>0</v>
      </c>
      <c r="H123" s="76">
        <f t="shared" si="4"/>
        <v>0</v>
      </c>
      <c r="I123" s="75">
        <f t="shared" si="5"/>
        <v>0</v>
      </c>
    </row>
    <row r="124" spans="2:9">
      <c r="B124" s="72">
        <f>IF(AND($F26=0,$H26=0),0,$B26)</f>
        <v>0</v>
      </c>
      <c r="C124" s="72"/>
      <c r="D124" s="72">
        <f t="shared" ref="D124:D145" si="8">D26</f>
        <v>0</v>
      </c>
      <c r="E124" s="72" t="str">
        <f>IF(AND($E26&lt;&gt;"(***)",OR($F26&lt;&gt;0,$H26&lt;&gt;0)),$E26,"")</f>
        <v/>
      </c>
      <c r="F124" s="76">
        <f t="shared" si="4"/>
        <v>0</v>
      </c>
      <c r="G124" s="77">
        <f t="shared" si="4"/>
        <v>0</v>
      </c>
      <c r="H124" s="76">
        <f t="shared" si="4"/>
        <v>0</v>
      </c>
      <c r="I124" s="75">
        <f t="shared" si="5"/>
        <v>0</v>
      </c>
    </row>
    <row r="125" spans="2:9">
      <c r="B125" s="72">
        <f>IF(AND($F27=0,$H27=0),0,$B27)</f>
        <v>0</v>
      </c>
      <c r="C125" s="72">
        <f>C27</f>
        <v>0</v>
      </c>
      <c r="D125" s="72">
        <f t="shared" si="8"/>
        <v>0</v>
      </c>
      <c r="E125" s="72" t="str">
        <f>IF(AND($E27&lt;&gt;"(***)",OR($F27&lt;&gt;0,$H27&lt;&gt;0)),$E27,"")</f>
        <v/>
      </c>
      <c r="F125" s="76">
        <f t="shared" si="4"/>
        <v>0</v>
      </c>
      <c r="G125" s="77">
        <f t="shared" si="4"/>
        <v>0</v>
      </c>
      <c r="H125" s="76">
        <f t="shared" si="4"/>
        <v>0</v>
      </c>
      <c r="I125" s="75">
        <f t="shared" si="5"/>
        <v>0</v>
      </c>
    </row>
    <row r="126" spans="2:9">
      <c r="B126" s="72">
        <f>IF(AND($F28=0,$H28=0),0,$B28)</f>
        <v>0</v>
      </c>
      <c r="C126" s="72">
        <f>C28</f>
        <v>0</v>
      </c>
      <c r="D126" s="72">
        <f t="shared" si="8"/>
        <v>0</v>
      </c>
      <c r="E126" s="72" t="str">
        <f>IF(AND($E28&lt;&gt;"(***)",OR($F28&lt;&gt;0,$H28&lt;&gt;0)),$E28,"")</f>
        <v/>
      </c>
      <c r="F126" s="76">
        <f t="shared" ref="F126:H145" si="9">F28</f>
        <v>0</v>
      </c>
      <c r="G126" s="77">
        <f t="shared" si="9"/>
        <v>0</v>
      </c>
      <c r="H126" s="76">
        <f t="shared" si="9"/>
        <v>0</v>
      </c>
      <c r="I126" s="75">
        <f t="shared" si="5"/>
        <v>0</v>
      </c>
    </row>
    <row r="127" spans="2:9">
      <c r="B127" s="72">
        <f>IF(AND($F29=0,$H29=0),0,$B29)</f>
        <v>0</v>
      </c>
      <c r="C127" s="72">
        <f>C29</f>
        <v>0</v>
      </c>
      <c r="D127" s="72">
        <f t="shared" si="8"/>
        <v>0</v>
      </c>
      <c r="E127" s="72" t="str">
        <f>IF(AND($E29&lt;&gt;"(***)",OR($F29&lt;&gt;0,$H29&lt;&gt;0)),$E29,"")</f>
        <v/>
      </c>
      <c r="F127" s="81">
        <f t="shared" si="9"/>
        <v>0</v>
      </c>
      <c r="G127" s="77">
        <f t="shared" si="9"/>
        <v>0</v>
      </c>
      <c r="H127" s="81">
        <f t="shared" si="9"/>
        <v>0</v>
      </c>
      <c r="I127" s="75">
        <f t="shared" si="5"/>
        <v>0</v>
      </c>
    </row>
    <row r="128" spans="2:9">
      <c r="B128" s="82">
        <f>B30</f>
        <v>0</v>
      </c>
      <c r="C128" s="82">
        <f>C30</f>
        <v>0</v>
      </c>
      <c r="D128" s="72">
        <f t="shared" si="8"/>
        <v>0</v>
      </c>
      <c r="E128" s="72">
        <f>E30</f>
        <v>0</v>
      </c>
      <c r="F128" s="79">
        <f t="shared" si="9"/>
        <v>0</v>
      </c>
      <c r="G128" s="77">
        <f t="shared" si="9"/>
        <v>0</v>
      </c>
      <c r="H128" s="79">
        <f t="shared" si="9"/>
        <v>0</v>
      </c>
      <c r="I128" s="75">
        <f t="shared" si="5"/>
        <v>0</v>
      </c>
    </row>
    <row r="129" spans="2:9">
      <c r="B129" s="3341">
        <f>IF(AND($F31=0,$H31=0),0,$B31)</f>
        <v>0</v>
      </c>
      <c r="C129" s="3340"/>
      <c r="D129" s="78">
        <f t="shared" si="8"/>
        <v>0</v>
      </c>
      <c r="E129" s="72" t="str">
        <f>IF(AND($E31&lt;&gt;"(***)",OR($F31&lt;&gt;0,$H31&lt;&gt;0)),$E31,"")</f>
        <v/>
      </c>
      <c r="F129" s="80">
        <f t="shared" si="9"/>
        <v>0</v>
      </c>
      <c r="G129" s="79">
        <f t="shared" si="9"/>
        <v>0</v>
      </c>
      <c r="H129" s="80">
        <f t="shared" si="9"/>
        <v>0</v>
      </c>
      <c r="I129" s="75">
        <f t="shared" si="5"/>
        <v>0</v>
      </c>
    </row>
    <row r="130" spans="2:9">
      <c r="B130" s="82">
        <f>B32</f>
        <v>0</v>
      </c>
      <c r="C130" s="82">
        <f>C32</f>
        <v>0</v>
      </c>
      <c r="D130" s="72">
        <f t="shared" si="8"/>
        <v>0</v>
      </c>
      <c r="E130" s="72">
        <f>E32</f>
        <v>0</v>
      </c>
      <c r="F130" s="79">
        <f t="shared" si="9"/>
        <v>0</v>
      </c>
      <c r="G130" s="77">
        <f t="shared" si="9"/>
        <v>0</v>
      </c>
      <c r="H130" s="79">
        <f t="shared" si="9"/>
        <v>0</v>
      </c>
      <c r="I130" s="75">
        <f t="shared" si="5"/>
        <v>0</v>
      </c>
    </row>
    <row r="131" spans="2:9" ht="18" customHeight="1">
      <c r="B131" s="3341">
        <f>IF(AND($F33=0,$H33=0),0,$B33)</f>
        <v>0</v>
      </c>
      <c r="C131" s="3342"/>
      <c r="D131" s="72">
        <f t="shared" si="8"/>
        <v>0</v>
      </c>
      <c r="E131" s="72" t="str">
        <f>IF(AND($E33&lt;&gt;"(***)",OR($F33&lt;&gt;0,$H33&lt;&gt;0)),$E33,"")</f>
        <v/>
      </c>
      <c r="F131" s="80">
        <f t="shared" si="9"/>
        <v>0</v>
      </c>
      <c r="G131" s="77">
        <f t="shared" si="9"/>
        <v>0</v>
      </c>
      <c r="H131" s="80">
        <f t="shared" si="9"/>
        <v>0</v>
      </c>
      <c r="I131" s="75">
        <f t="shared" si="5"/>
        <v>0</v>
      </c>
    </row>
    <row r="132" spans="2:9">
      <c r="B132" s="3338" t="str">
        <f>IF(AND($B34&lt;&gt;"(***)",OR($F34&lt;&gt;0,$H34&lt;&gt;0)),$B34,"")</f>
        <v/>
      </c>
      <c r="C132" s="3339"/>
      <c r="D132" s="72">
        <f t="shared" si="8"/>
        <v>0</v>
      </c>
      <c r="E132" s="72" t="str">
        <f>IF(AND($E34&lt;&gt;"(***)",OR($F34&lt;&gt;0,$H34&lt;&gt;0)),$E34,"")</f>
        <v/>
      </c>
      <c r="F132" s="80">
        <f t="shared" si="9"/>
        <v>0</v>
      </c>
      <c r="G132" s="77">
        <f t="shared" si="9"/>
        <v>0</v>
      </c>
      <c r="H132" s="80">
        <f t="shared" si="9"/>
        <v>0</v>
      </c>
      <c r="I132" s="75">
        <f t="shared" si="5"/>
        <v>0</v>
      </c>
    </row>
    <row r="133" spans="2:9">
      <c r="B133" s="82">
        <f>B35</f>
        <v>0</v>
      </c>
      <c r="C133" s="82">
        <f>C35</f>
        <v>0</v>
      </c>
      <c r="D133" s="72">
        <f t="shared" si="8"/>
        <v>0</v>
      </c>
      <c r="E133" s="72">
        <f>E35</f>
        <v>0</v>
      </c>
      <c r="F133" s="77">
        <f t="shared" si="9"/>
        <v>0</v>
      </c>
      <c r="G133" s="77">
        <f t="shared" si="9"/>
        <v>0</v>
      </c>
      <c r="H133" s="77">
        <f t="shared" si="9"/>
        <v>0</v>
      </c>
      <c r="I133" s="75">
        <f t="shared" si="5"/>
        <v>0</v>
      </c>
    </row>
    <row r="134" spans="2:9">
      <c r="B134" s="74">
        <f>IF(OR($F134&lt;&gt;0,$H134&lt;&gt;0),B36,0)</f>
        <v>0</v>
      </c>
      <c r="C134" s="72">
        <f>C36</f>
        <v>0</v>
      </c>
      <c r="D134" s="72">
        <f t="shared" si="8"/>
        <v>0</v>
      </c>
      <c r="E134" s="72">
        <f>IF(OR($F134&lt;&gt;0,$H134&lt;&gt;0),E36,0)</f>
        <v>0</v>
      </c>
      <c r="F134" s="80">
        <f t="shared" si="9"/>
        <v>0</v>
      </c>
      <c r="G134" s="77">
        <f t="shared" si="9"/>
        <v>0</v>
      </c>
      <c r="H134" s="80">
        <f t="shared" si="9"/>
        <v>0</v>
      </c>
      <c r="I134" s="75">
        <f t="shared" si="5"/>
        <v>0</v>
      </c>
    </row>
    <row r="135" spans="2:9">
      <c r="B135" s="3338" t="str">
        <f>IF(AND($B37&lt;&gt;"(***)",OR($F37&lt;&gt;0,$H37&lt;&gt;0)),$B37,"")</f>
        <v/>
      </c>
      <c r="C135" s="3340"/>
      <c r="D135" s="72">
        <f t="shared" si="8"/>
        <v>0</v>
      </c>
      <c r="E135" s="72" t="str">
        <f>IF(AND($E37&lt;&gt;"(***)",OR($F37&lt;&gt;0,$H37&lt;&gt;0)),$E37,"")</f>
        <v/>
      </c>
      <c r="F135" s="80">
        <f t="shared" si="9"/>
        <v>0</v>
      </c>
      <c r="G135" s="77">
        <f t="shared" si="9"/>
        <v>0</v>
      </c>
      <c r="H135" s="80">
        <f t="shared" si="9"/>
        <v>0</v>
      </c>
      <c r="I135" s="75">
        <f t="shared" si="5"/>
        <v>0</v>
      </c>
    </row>
    <row r="136" spans="2:9">
      <c r="B136" s="82">
        <f t="shared" ref="B136:C139" si="10">B38</f>
        <v>0</v>
      </c>
      <c r="C136" s="82">
        <f t="shared" si="10"/>
        <v>0</v>
      </c>
      <c r="D136" s="72">
        <f t="shared" si="8"/>
        <v>0</v>
      </c>
      <c r="E136" s="75">
        <f t="shared" ref="E136:E145" si="11">E38</f>
        <v>0</v>
      </c>
      <c r="F136" s="79">
        <f t="shared" si="9"/>
        <v>0</v>
      </c>
      <c r="G136" s="77">
        <f t="shared" si="9"/>
        <v>0</v>
      </c>
      <c r="H136" s="79">
        <f t="shared" si="9"/>
        <v>0</v>
      </c>
      <c r="I136" s="75">
        <f t="shared" si="5"/>
        <v>0</v>
      </c>
    </row>
    <row r="137" spans="2:9" ht="16.2" thickBot="1">
      <c r="B137" s="82">
        <f t="shared" si="10"/>
        <v>0</v>
      </c>
      <c r="C137" s="82">
        <f t="shared" si="10"/>
        <v>0</v>
      </c>
      <c r="D137" s="72">
        <f t="shared" si="8"/>
        <v>0</v>
      </c>
      <c r="E137" s="75">
        <f t="shared" si="11"/>
        <v>0</v>
      </c>
      <c r="F137" s="83">
        <f t="shared" si="9"/>
        <v>882280</v>
      </c>
      <c r="G137" s="84" t="str">
        <f t="shared" si="9"/>
        <v xml:space="preserve"> </v>
      </c>
      <c r="H137" s="83">
        <f t="shared" si="9"/>
        <v>735673</v>
      </c>
      <c r="I137" s="75">
        <f t="shared" si="5"/>
        <v>0</v>
      </c>
    </row>
    <row r="138" spans="2:9" ht="16.2" thickTop="1">
      <c r="B138" s="82">
        <f t="shared" si="10"/>
        <v>0</v>
      </c>
      <c r="C138" s="82">
        <f t="shared" si="10"/>
        <v>0</v>
      </c>
      <c r="D138" s="72">
        <f t="shared" si="8"/>
        <v>0</v>
      </c>
      <c r="E138" s="75">
        <f t="shared" si="11"/>
        <v>0</v>
      </c>
      <c r="F138" s="79">
        <f t="shared" si="9"/>
        <v>0</v>
      </c>
      <c r="G138" s="77">
        <f t="shared" si="9"/>
        <v>0</v>
      </c>
      <c r="H138" s="79">
        <f t="shared" si="9"/>
        <v>0</v>
      </c>
      <c r="I138" s="75">
        <f t="shared" si="5"/>
        <v>0</v>
      </c>
    </row>
    <row r="139" spans="2:9">
      <c r="B139" s="74" t="str">
        <f t="shared" si="10"/>
        <v>נתונים נוספים</v>
      </c>
      <c r="C139" s="72">
        <f t="shared" si="10"/>
        <v>0</v>
      </c>
      <c r="D139" s="72">
        <f t="shared" si="8"/>
        <v>0</v>
      </c>
      <c r="E139" s="85">
        <f t="shared" si="11"/>
        <v>0</v>
      </c>
      <c r="F139" s="77">
        <f t="shared" si="9"/>
        <v>0</v>
      </c>
      <c r="G139" s="86">
        <f t="shared" si="9"/>
        <v>0</v>
      </c>
      <c r="H139" s="77">
        <f t="shared" si="9"/>
        <v>0</v>
      </c>
      <c r="I139" s="75">
        <f t="shared" si="5"/>
        <v>0</v>
      </c>
    </row>
    <row r="140" spans="2:9" ht="16.2" thickBot="1">
      <c r="B140" s="71" t="str">
        <f>IF(AND($F42=0,$H42=0),0,$B42)</f>
        <v>עומס המלוות</v>
      </c>
      <c r="C140" s="72">
        <f t="shared" ref="C140:C145" si="12">C42</f>
        <v>0</v>
      </c>
      <c r="D140" s="72">
        <f t="shared" si="8"/>
        <v>0</v>
      </c>
      <c r="E140" s="75" t="str">
        <f t="shared" si="11"/>
        <v>נספח 3 לטופס 1</v>
      </c>
      <c r="F140" s="87">
        <f t="shared" si="9"/>
        <v>128428</v>
      </c>
      <c r="G140" s="88">
        <f t="shared" si="9"/>
        <v>0</v>
      </c>
      <c r="H140" s="87">
        <f t="shared" si="9"/>
        <v>158119</v>
      </c>
      <c r="I140" s="75">
        <f t="shared" si="5"/>
        <v>0</v>
      </c>
    </row>
    <row r="141" spans="2:9" ht="16.2" thickTop="1">
      <c r="B141" s="71">
        <f>B43</f>
        <v>0</v>
      </c>
      <c r="C141" s="72">
        <f t="shared" si="12"/>
        <v>0</v>
      </c>
      <c r="D141" s="72">
        <f t="shared" si="8"/>
        <v>0</v>
      </c>
      <c r="E141" s="75">
        <f t="shared" si="11"/>
        <v>0</v>
      </c>
      <c r="F141" s="88">
        <f t="shared" si="9"/>
        <v>0</v>
      </c>
      <c r="G141" s="88">
        <f t="shared" si="9"/>
        <v>0</v>
      </c>
      <c r="H141" s="88">
        <f t="shared" si="9"/>
        <v>0</v>
      </c>
      <c r="I141" s="75">
        <f t="shared" si="5"/>
        <v>0</v>
      </c>
    </row>
    <row r="142" spans="2:9" ht="15.75" customHeight="1">
      <c r="B142" s="74" t="str">
        <f>IF(AND($F47=0,$H47=0),0,$B44)</f>
        <v>חייבים בגין ארנונה ומיסים אחרים</v>
      </c>
      <c r="C142" s="71">
        <f t="shared" si="12"/>
        <v>0</v>
      </c>
      <c r="D142" s="71">
        <f t="shared" si="8"/>
        <v>0</v>
      </c>
      <c r="E142" s="75" t="str">
        <f t="shared" si="11"/>
        <v>נספח 2 לטופס 1</v>
      </c>
      <c r="F142" s="76">
        <f>F44</f>
        <v>0</v>
      </c>
      <c r="G142" s="88">
        <f t="shared" si="9"/>
        <v>0</v>
      </c>
      <c r="H142" s="76">
        <f t="shared" si="9"/>
        <v>0</v>
      </c>
      <c r="I142" s="75">
        <f t="shared" si="5"/>
        <v>0</v>
      </c>
    </row>
    <row r="143" spans="2:9">
      <c r="B143" s="72" t="str">
        <f>IF(AND($F45=0,$H45=0),0,$B45)</f>
        <v>חובות פתוחים</v>
      </c>
      <c r="C143" s="72">
        <f t="shared" si="12"/>
        <v>0</v>
      </c>
      <c r="D143" s="72">
        <f t="shared" si="8"/>
        <v>0</v>
      </c>
      <c r="E143" s="75">
        <f t="shared" si="11"/>
        <v>0</v>
      </c>
      <c r="F143" s="76">
        <f>F45</f>
        <v>561547</v>
      </c>
      <c r="G143" s="88">
        <f t="shared" si="9"/>
        <v>0</v>
      </c>
      <c r="H143" s="76">
        <f t="shared" si="9"/>
        <v>597322</v>
      </c>
      <c r="I143" s="75">
        <f t="shared" si="5"/>
        <v>0</v>
      </c>
    </row>
    <row r="144" spans="2:9">
      <c r="B144" s="72" t="str">
        <f>IF(AND($F46=0,$H46=0),0,$B46)</f>
        <v>מכוסים בהמחאות לגביה</v>
      </c>
      <c r="C144" s="72">
        <f t="shared" si="12"/>
        <v>0</v>
      </c>
      <c r="D144" s="72">
        <f t="shared" si="8"/>
        <v>0</v>
      </c>
      <c r="E144" s="75">
        <f t="shared" si="11"/>
        <v>0</v>
      </c>
      <c r="F144" s="76">
        <f t="shared" si="9"/>
        <v>22202</v>
      </c>
      <c r="G144" s="88">
        <f t="shared" si="9"/>
        <v>0</v>
      </c>
      <c r="H144" s="76">
        <f t="shared" si="9"/>
        <v>27771</v>
      </c>
      <c r="I144" s="75">
        <f t="shared" si="5"/>
        <v>0</v>
      </c>
    </row>
    <row r="145" spans="2:9" ht="16.2" thickBot="1">
      <c r="B145" s="72">
        <f>B47</f>
        <v>0</v>
      </c>
      <c r="C145" s="72">
        <f t="shared" si="12"/>
        <v>0</v>
      </c>
      <c r="D145" s="72">
        <f t="shared" si="8"/>
        <v>0</v>
      </c>
      <c r="E145" s="72">
        <f t="shared" si="11"/>
        <v>0</v>
      </c>
      <c r="F145" s="83">
        <f t="shared" si="9"/>
        <v>583749</v>
      </c>
      <c r="G145" s="88">
        <f t="shared" si="9"/>
        <v>0</v>
      </c>
      <c r="H145" s="83">
        <f t="shared" si="9"/>
        <v>625093</v>
      </c>
      <c r="I145" s="75">
        <f t="shared" si="5"/>
        <v>0</v>
      </c>
    </row>
    <row r="146" spans="2:9" ht="16.2" thickTop="1">
      <c r="B146" s="72">
        <f>IF($B$48&lt;&gt;"(***)",$B$48,0)</f>
        <v>0</v>
      </c>
    </row>
  </sheetData>
  <sheetProtection password="83C1" sheet="1" objects="1" scenarios="1"/>
  <mergeCells count="20">
    <mergeCell ref="E1:K1"/>
    <mergeCell ref="E2:K2"/>
    <mergeCell ref="E3:K3"/>
    <mergeCell ref="B16:D16"/>
    <mergeCell ref="B20:D20"/>
    <mergeCell ref="B34:C34"/>
    <mergeCell ref="B31:C31"/>
    <mergeCell ref="B101:H101"/>
    <mergeCell ref="B100:H100"/>
    <mergeCell ref="E49:K49"/>
    <mergeCell ref="J39:K39"/>
    <mergeCell ref="B36:C36"/>
    <mergeCell ref="B37:C37"/>
    <mergeCell ref="B132:C132"/>
    <mergeCell ref="B135:C135"/>
    <mergeCell ref="B131:C131"/>
    <mergeCell ref="B102:H102"/>
    <mergeCell ref="B114:D114"/>
    <mergeCell ref="B118:D118"/>
    <mergeCell ref="B129:C129"/>
  </mergeCells>
  <phoneticPr fontId="4" type="noConversion"/>
  <conditionalFormatting sqref="F44">
    <cfRule type="expression" dxfId="70" priority="3" stopIfTrue="1">
      <formula>OR($F$45&lt;&gt;0,$F$46&lt;&gt;0)</formula>
    </cfRule>
  </conditionalFormatting>
  <conditionalFormatting sqref="F45:F46">
    <cfRule type="expression" dxfId="69" priority="4" stopIfTrue="1">
      <formula>$F$44&lt;&gt;0</formula>
    </cfRule>
  </conditionalFormatting>
  <conditionalFormatting sqref="H44">
    <cfRule type="expression" dxfId="68" priority="5" stopIfTrue="1">
      <formula>OR($H$45&lt;&gt;0,$H$46&lt;&gt;0)</formula>
    </cfRule>
  </conditionalFormatting>
  <conditionalFormatting sqref="H45:H46">
    <cfRule type="expression" dxfId="67" priority="6" stopIfTrue="1">
      <formula>$H$44&lt;&gt;0</formula>
    </cfRule>
  </conditionalFormatting>
  <conditionalFormatting sqref="F112 H112 F114 F116 F118 F120 F129 F131:F132 F134:F135 F140 F144:F145 H145 H140 H134:H135 H131:H132 H129 H120 H118 H116 H114">
    <cfRule type="expression" dxfId="66" priority="7" stopIfTrue="1">
      <formula>AND($F112=0,$H112=0)</formula>
    </cfRule>
  </conditionalFormatting>
  <conditionalFormatting sqref="F110 H110">
    <cfRule type="expression" dxfId="65" priority="8" stopIfTrue="1">
      <formula>AND($F$110=0,$H$110=0)</formula>
    </cfRule>
  </conditionalFormatting>
  <conditionalFormatting sqref="F127 H127">
    <cfRule type="expression" dxfId="64" priority="9" stopIfTrue="1">
      <formula>AND($F$126=0,$H$126=0,$F$125=0,$H$125=0,$F$124=0,$H$124=0,$F$123=0,$H$123=0)</formula>
    </cfRule>
  </conditionalFormatting>
  <hyperlinks>
    <hyperlink ref="A4" location="'תוכן הענינים'!A1" tooltip="לחץ להצגת גליון תוכן הענינים" display="הצג תוכן ענינים"/>
  </hyperlinks>
  <printOptions horizontalCentered="1"/>
  <pageMargins left="0" right="0" top="0.75" bottom="0.31496062992126" header="0.25" footer="0.23622047244094499"/>
  <pageSetup paperSize="9" scale="96" orientation="portrait" blackAndWhite="1" horizontalDpi="300" verticalDpi="300" r:id="rId1"/>
  <headerFooter alignWithMargins="0">
    <oddHeader>&amp;L&amp;8&amp;A</oddHeader>
    <oddFooter>&amp;L&amp;8 &amp;C&amp;8 &amp;P</oddFooter>
  </headerFooter>
  <rowBreaks count="1" manualBreakCount="1">
    <brk id="44" max="16383" man="1"/>
  </rowBreaks>
  <cellWatches>
    <cellWatch r="B7"/>
  </cellWatches>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6">
    <pageSetUpPr autoPageBreaks="0"/>
  </sheetPr>
  <dimension ref="A1:AA269"/>
  <sheetViews>
    <sheetView showGridLines="0" showRowColHeaders="0" showZeros="0" rightToLeft="1" showOutlineSymbols="0" zoomScale="85" zoomScaleNormal="85" zoomScaleSheetLayoutView="75" workbookViewId="0">
      <selection activeCell="A4" sqref="A4"/>
    </sheetView>
  </sheetViews>
  <sheetFormatPr defaultColWidth="9.109375" defaultRowHeight="13.2"/>
  <cols>
    <col min="1" max="1" width="9.109375" style="860"/>
    <col min="2" max="2" width="31.6640625" style="860" customWidth="1"/>
    <col min="3" max="3" width="1.33203125" style="860" customWidth="1"/>
    <col min="4" max="4" width="10" style="860" customWidth="1"/>
    <col min="5" max="5" width="1.44140625" style="884" customWidth="1"/>
    <col min="6" max="6" width="10.109375" style="860" customWidth="1"/>
    <col min="7" max="7" width="1.44140625" style="884" customWidth="1"/>
    <col min="8" max="8" width="10.109375" style="860" customWidth="1"/>
    <col min="9" max="9" width="1.44140625" style="884" customWidth="1"/>
    <col min="10" max="10" width="10" style="884" customWidth="1"/>
    <col min="11" max="11" width="1.44140625" style="884" customWidth="1"/>
    <col min="12" max="12" width="9.88671875" style="884" customWidth="1"/>
    <col min="13" max="13" width="1.44140625" style="884" customWidth="1"/>
    <col min="14" max="14" width="10" style="884" customWidth="1"/>
    <col min="15" max="15" width="1.44140625" style="884" customWidth="1"/>
    <col min="16" max="16" width="10.109375" style="884" customWidth="1"/>
    <col min="17" max="17" width="1.33203125" style="884" customWidth="1"/>
    <col min="18" max="18" width="10.109375" style="884" customWidth="1"/>
    <col min="19" max="19" width="1.44140625" style="884" customWidth="1"/>
    <col min="20" max="20" width="11.5546875" style="884" customWidth="1"/>
    <col min="21" max="21" width="1.44140625" style="884" customWidth="1"/>
    <col min="22" max="22" width="11.33203125" style="884" customWidth="1"/>
    <col min="23" max="23" width="6" style="860" customWidth="1"/>
    <col min="24" max="24" width="5.88671875" style="860" bestFit="1" customWidth="1"/>
    <col min="25" max="27" width="9.109375" style="179"/>
    <col min="28" max="16384" width="9.109375" style="860"/>
  </cols>
  <sheetData>
    <row r="1" spans="1:27" ht="12.75" customHeight="1">
      <c r="A1" s="857"/>
      <c r="B1" s="858"/>
      <c r="C1" s="858"/>
      <c r="D1" s="3048"/>
      <c r="E1" s="3049"/>
      <c r="F1" s="3049"/>
      <c r="G1" s="3049"/>
      <c r="H1" s="3049"/>
      <c r="I1" s="3049"/>
      <c r="J1" s="3048" t="str">
        <f>'הגדרות כלליות'!$D$6</f>
        <v>עירית הרצליה</v>
      </c>
      <c r="K1" s="3048"/>
      <c r="L1" s="858"/>
      <c r="M1" s="858"/>
      <c r="N1" s="858"/>
      <c r="O1" s="858"/>
      <c r="P1" s="858"/>
      <c r="Q1" s="858"/>
      <c r="R1" s="858"/>
      <c r="S1" s="858"/>
      <c r="T1" s="858"/>
      <c r="U1" s="858"/>
      <c r="V1" s="858"/>
      <c r="W1" s="858"/>
      <c r="X1" s="859"/>
    </row>
    <row r="2" spans="1:27" ht="15.6">
      <c r="A2" s="857"/>
      <c r="B2" s="858"/>
      <c r="C2" s="858"/>
      <c r="D2" s="3044"/>
      <c r="E2" s="858"/>
      <c r="F2" s="858"/>
      <c r="G2" s="858"/>
      <c r="H2" s="858"/>
      <c r="I2" s="858"/>
      <c r="J2" s="3044" t="str">
        <f>CONCATENATE("הדוח הכספי לשנת ",'הגדרות כלליות'!$D$10)</f>
        <v>הדוח הכספי לשנת 2015</v>
      </c>
      <c r="K2" s="858"/>
      <c r="L2" s="858"/>
      <c r="M2" s="858"/>
      <c r="N2" s="858"/>
      <c r="O2" s="858"/>
      <c r="P2" s="858"/>
      <c r="Q2" s="858"/>
      <c r="R2" s="858"/>
      <c r="S2" s="858"/>
      <c r="T2" s="858"/>
      <c r="U2" s="858"/>
      <c r="V2" s="858"/>
      <c r="W2" s="858"/>
      <c r="X2" s="859"/>
    </row>
    <row r="3" spans="1:27" ht="15" customHeight="1">
      <c r="A3" s="857"/>
      <c r="B3" s="858"/>
      <c r="C3" s="858"/>
      <c r="D3" s="3044"/>
      <c r="E3" s="858"/>
      <c r="F3" s="858"/>
      <c r="G3" s="858"/>
      <c r="H3" s="3044" t="s">
        <v>518</v>
      </c>
      <c r="I3" s="3044"/>
      <c r="J3" s="858"/>
      <c r="K3" s="858"/>
      <c r="L3" s="858"/>
      <c r="M3" s="858"/>
      <c r="N3" s="858"/>
      <c r="O3" s="858"/>
      <c r="P3" s="858"/>
      <c r="Q3" s="858"/>
      <c r="R3" s="858"/>
      <c r="S3" s="858"/>
      <c r="T3" s="858"/>
      <c r="U3" s="858"/>
      <c r="V3" s="858"/>
      <c r="W3" s="858"/>
      <c r="X3" s="859"/>
    </row>
    <row r="4" spans="1:27" ht="19.5" customHeight="1">
      <c r="A4" s="7" t="s">
        <v>339</v>
      </c>
      <c r="B4" s="861"/>
      <c r="C4" s="861"/>
      <c r="D4" s="862"/>
      <c r="E4" s="862"/>
      <c r="F4" s="862"/>
      <c r="G4" s="862"/>
      <c r="H4" s="863"/>
      <c r="I4" s="862"/>
      <c r="J4" s="862"/>
      <c r="K4" s="862"/>
      <c r="L4" s="862"/>
      <c r="M4" s="862"/>
      <c r="N4" s="862"/>
      <c r="O4" s="862"/>
      <c r="P4" s="862"/>
      <c r="Q4" s="862"/>
      <c r="R4" s="862"/>
      <c r="S4" s="862"/>
      <c r="T4" s="862"/>
      <c r="U4" s="862"/>
      <c r="V4" s="862"/>
      <c r="W4" s="863"/>
      <c r="X4" s="864"/>
    </row>
    <row r="5" spans="1:27" ht="19.5" customHeight="1">
      <c r="A5" s="7"/>
      <c r="B5" s="861"/>
      <c r="C5" s="861"/>
      <c r="D5" s="862"/>
      <c r="E5" s="862"/>
      <c r="F5" s="862"/>
      <c r="G5" s="862"/>
      <c r="H5" s="863"/>
      <c r="I5" s="862"/>
      <c r="J5" s="862"/>
      <c r="K5" s="862"/>
      <c r="L5" s="862"/>
      <c r="M5" s="862"/>
      <c r="N5" s="862"/>
      <c r="O5" s="862"/>
      <c r="P5" s="862"/>
      <c r="Q5" s="862"/>
      <c r="R5" s="862"/>
      <c r="S5" s="862"/>
      <c r="T5" s="862"/>
      <c r="U5" s="862"/>
      <c r="V5" s="862"/>
      <c r="W5" s="863"/>
      <c r="X5" s="864"/>
    </row>
    <row r="6" spans="1:27" ht="15.75" customHeight="1">
      <c r="A6" s="865"/>
      <c r="B6" s="866" t="s">
        <v>1414</v>
      </c>
      <c r="C6" s="3045"/>
      <c r="D6" s="3713" t="s">
        <v>1415</v>
      </c>
      <c r="E6" s="3713"/>
      <c r="F6" s="3714"/>
      <c r="G6" s="867"/>
      <c r="H6" s="3713" t="s">
        <v>1416</v>
      </c>
      <c r="I6" s="3713"/>
      <c r="J6" s="3714"/>
      <c r="K6" s="867"/>
      <c r="L6" s="3713" t="s">
        <v>1417</v>
      </c>
      <c r="M6" s="3713"/>
      <c r="N6" s="3714"/>
      <c r="O6" s="867"/>
      <c r="P6" s="3713" t="s">
        <v>1418</v>
      </c>
      <c r="Q6" s="3713"/>
      <c r="R6" s="3714"/>
      <c r="S6" s="867"/>
      <c r="T6" s="3717" t="s">
        <v>231</v>
      </c>
      <c r="U6" s="867"/>
      <c r="V6" s="3715" t="s">
        <v>1421</v>
      </c>
      <c r="W6" s="863"/>
      <c r="X6" s="864"/>
    </row>
    <row r="7" spans="1:27" ht="20.25" customHeight="1">
      <c r="A7" s="865"/>
      <c r="B7" s="2667"/>
      <c r="C7" s="2667"/>
      <c r="D7" s="2667">
        <f>Shana</f>
        <v>2015</v>
      </c>
      <c r="E7" s="2667"/>
      <c r="F7" s="2667">
        <f>ShanaKodemet</f>
        <v>2014</v>
      </c>
      <c r="G7" s="2667"/>
      <c r="H7" s="2667">
        <f>Shana</f>
        <v>2015</v>
      </c>
      <c r="I7" s="2667"/>
      <c r="J7" s="2667">
        <f>ShanaKodemet</f>
        <v>2014</v>
      </c>
      <c r="K7" s="2667"/>
      <c r="L7" s="2667">
        <f>Shana</f>
        <v>2015</v>
      </c>
      <c r="M7" s="2667"/>
      <c r="N7" s="2667">
        <f>ShanaKodemet</f>
        <v>2014</v>
      </c>
      <c r="O7" s="2667"/>
      <c r="P7" s="2667" t="s">
        <v>1419</v>
      </c>
      <c r="Q7" s="2667"/>
      <c r="R7" s="2667" t="s">
        <v>1420</v>
      </c>
      <c r="S7" s="2667"/>
      <c r="T7" s="3718"/>
      <c r="U7" s="2667"/>
      <c r="V7" s="3716"/>
      <c r="W7" s="863"/>
      <c r="X7" s="864"/>
    </row>
    <row r="8" spans="1:27" ht="15.6">
      <c r="A8" s="865"/>
      <c r="B8" s="868"/>
      <c r="C8" s="3046"/>
      <c r="D8" s="583"/>
      <c r="E8" s="583"/>
      <c r="F8" s="583"/>
      <c r="G8" s="583"/>
      <c r="H8" s="583"/>
      <c r="I8" s="583"/>
      <c r="J8" s="583"/>
      <c r="K8" s="583"/>
      <c r="L8" s="583"/>
      <c r="M8" s="583"/>
      <c r="N8" s="583"/>
      <c r="O8" s="583"/>
      <c r="P8" s="583"/>
      <c r="Q8" s="583"/>
      <c r="R8" s="583"/>
      <c r="S8" s="583"/>
      <c r="T8" s="583"/>
      <c r="U8" s="869"/>
      <c r="V8" s="2124"/>
      <c r="W8" s="863"/>
      <c r="X8" s="864"/>
    </row>
    <row r="9" spans="1:27">
      <c r="A9" s="865"/>
      <c r="B9" s="870" t="str">
        <f>'נתונים משותפים'!B6</f>
        <v>מבנה מגורים</v>
      </c>
      <c r="C9" s="3047"/>
      <c r="D9" s="2503">
        <v>3704.87</v>
      </c>
      <c r="E9" s="871"/>
      <c r="F9" s="2503">
        <v>3653</v>
      </c>
      <c r="G9" s="871"/>
      <c r="H9" s="3052">
        <f>IF(D9&lt;&gt;0,L9/D9,0)</f>
        <v>58.563790362414878</v>
      </c>
      <c r="I9" s="871"/>
      <c r="J9" s="3052">
        <f>IF(F9&lt;&gt;0,N9/F9,0)</f>
        <v>57.975362715576239</v>
      </c>
      <c r="K9" s="871"/>
      <c r="L9" s="2503">
        <v>216971.23</v>
      </c>
      <c r="M9" s="871"/>
      <c r="N9" s="2503">
        <v>211784</v>
      </c>
      <c r="O9" s="871"/>
      <c r="P9" s="3053">
        <f t="shared" ref="P9:P23" si="0">IF(H9&lt;&gt;0,(H9-J9)/J9,0)</f>
        <v>1.0149615617334396E-2</v>
      </c>
      <c r="Q9" s="871"/>
      <c r="R9" s="3053">
        <f>IF(N9&lt;&gt;0,(L9-N9)/N9,0)</f>
        <v>2.4493021191402609E-2</v>
      </c>
      <c r="S9" s="871"/>
      <c r="T9" s="3119">
        <f>D9-F9</f>
        <v>51.869999999999891</v>
      </c>
      <c r="U9" s="871"/>
      <c r="V9" s="3054">
        <f t="shared" ref="V9" si="1">IF(AND(D9&lt;&gt;0,F9&lt;&gt;0),(D9-F9)/F9,0)</f>
        <v>1.4199288256227727E-2</v>
      </c>
      <c r="W9" s="872"/>
      <c r="X9" s="873"/>
    </row>
    <row r="10" spans="1:27">
      <c r="A10" s="865"/>
      <c r="B10" s="870" t="str">
        <f>'נתונים משותפים'!B7</f>
        <v>מגורים שאינם בשימוש</v>
      </c>
      <c r="C10" s="3047"/>
      <c r="D10" s="2503"/>
      <c r="E10" s="871"/>
      <c r="F10" s="2503"/>
      <c r="G10" s="871"/>
      <c r="H10" s="3052">
        <f>IF(D10&lt;&gt;0,L10/D10,0)</f>
        <v>0</v>
      </c>
      <c r="I10" s="871"/>
      <c r="J10" s="3052">
        <f>IF(F10&lt;&gt;0,N10/F10,0)</f>
        <v>0</v>
      </c>
      <c r="K10" s="871"/>
      <c r="L10" s="2503"/>
      <c r="M10" s="871"/>
      <c r="N10" s="2503"/>
      <c r="O10" s="871"/>
      <c r="P10" s="3053">
        <f t="shared" ref="P10" si="2">IF(H10&lt;&gt;0,(H10-J10)/J10,0)</f>
        <v>0</v>
      </c>
      <c r="Q10" s="871"/>
      <c r="R10" s="3053">
        <f>IF(N10&lt;&gt;0,(L10-N10)/N10,0)</f>
        <v>0</v>
      </c>
      <c r="S10" s="871"/>
      <c r="T10" s="3119">
        <f>D10-F10</f>
        <v>0</v>
      </c>
      <c r="U10" s="871"/>
      <c r="V10" s="3054">
        <f t="shared" ref="V10" si="3">IF(AND(D10&lt;&gt;0,F10&lt;&gt;0),(D10-F10)/F10,0)</f>
        <v>0</v>
      </c>
      <c r="W10" s="872"/>
      <c r="X10" s="873"/>
      <c r="Y10" s="3264"/>
      <c r="Z10" s="3264"/>
      <c r="AA10" s="3264"/>
    </row>
    <row r="11" spans="1:27">
      <c r="A11" s="865"/>
      <c r="B11" s="870" t="str">
        <f>'נתונים משותפים'!B8</f>
        <v>משרדים שירותים ומסחר</v>
      </c>
      <c r="C11" s="3047"/>
      <c r="D11" s="2503">
        <v>565.85</v>
      </c>
      <c r="E11" s="871"/>
      <c r="F11" s="2503">
        <v>565</v>
      </c>
      <c r="G11" s="871"/>
      <c r="H11" s="3052">
        <f t="shared" ref="H11:H14" si="4">IF(D11&lt;&gt;0,L11/D11,0)</f>
        <v>288.04243173986038</v>
      </c>
      <c r="I11" s="871"/>
      <c r="J11" s="3052">
        <f t="shared" ref="J11:J25" si="5">IF(F11&lt;&gt;0,N11/F11,0)</f>
        <v>287.44424778761061</v>
      </c>
      <c r="K11" s="871"/>
      <c r="L11" s="2503">
        <v>162988.81</v>
      </c>
      <c r="M11" s="871"/>
      <c r="N11" s="2503">
        <v>162406</v>
      </c>
      <c r="O11" s="871"/>
      <c r="P11" s="3053">
        <f t="shared" si="0"/>
        <v>2.0810433913840604E-3</v>
      </c>
      <c r="Q11" s="871"/>
      <c r="R11" s="3053">
        <f t="shared" ref="R11:R25" si="6">IF(N11&lt;&gt;0,(L11-N11)/N11,0)</f>
        <v>3.5885989433887765E-3</v>
      </c>
      <c r="S11" s="871"/>
      <c r="T11" s="3119">
        <f t="shared" ref="T11:T25" si="7">D11-F11</f>
        <v>0.85000000000002274</v>
      </c>
      <c r="U11" s="871"/>
      <c r="V11" s="3054">
        <f>IF(AND(D11&lt;&gt;0,F11&lt;&gt;0),(D11-F11)/F11,0)</f>
        <v>1.5044247787611021E-3</v>
      </c>
      <c r="W11" s="872"/>
      <c r="X11" s="873"/>
    </row>
    <row r="12" spans="1:27">
      <c r="A12" s="865"/>
      <c r="B12" s="870" t="str">
        <f>'נתונים משותפים'!B9</f>
        <v>בנקים וחברות ביטוח</v>
      </c>
      <c r="C12" s="3047"/>
      <c r="D12" s="2503">
        <v>12.59</v>
      </c>
      <c r="E12" s="871"/>
      <c r="F12" s="2503">
        <v>12</v>
      </c>
      <c r="G12" s="871"/>
      <c r="H12" s="3052">
        <f t="shared" si="4"/>
        <v>1320.5297855440826</v>
      </c>
      <c r="I12" s="871"/>
      <c r="J12" s="3052">
        <f t="shared" si="5"/>
        <v>1368.25</v>
      </c>
      <c r="K12" s="871"/>
      <c r="L12" s="2503">
        <v>16625.47</v>
      </c>
      <c r="M12" s="871"/>
      <c r="N12" s="2503">
        <v>16419</v>
      </c>
      <c r="O12" s="871"/>
      <c r="P12" s="3053">
        <f t="shared" si="0"/>
        <v>-3.4876824013095088E-2</v>
      </c>
      <c r="Q12" s="871"/>
      <c r="R12" s="3053">
        <f t="shared" si="6"/>
        <v>1.2575065472927777E-2</v>
      </c>
      <c r="S12" s="871"/>
      <c r="T12" s="3119">
        <f t="shared" si="7"/>
        <v>0.58999999999999986</v>
      </c>
      <c r="U12" s="871"/>
      <c r="V12" s="3054">
        <f t="shared" ref="V12:V22" si="8">IF(AND(D12&lt;&gt;0,F12&lt;&gt;0),(D12-F12)/F12,0)</f>
        <v>4.9166666666666657E-2</v>
      </c>
      <c r="W12" s="865"/>
      <c r="X12" s="875"/>
    </row>
    <row r="13" spans="1:27">
      <c r="A13" s="865"/>
      <c r="B13" s="870" t="str">
        <f>'נתונים משותפים'!B10</f>
        <v>תעשיה</v>
      </c>
      <c r="C13" s="3047"/>
      <c r="D13" s="2503">
        <v>440.58</v>
      </c>
      <c r="E13" s="871"/>
      <c r="F13" s="2503">
        <v>439.98</v>
      </c>
      <c r="G13" s="871"/>
      <c r="H13" s="3052">
        <f t="shared" si="4"/>
        <v>125.28457941803985</v>
      </c>
      <c r="I13" s="871"/>
      <c r="J13" s="3052">
        <f t="shared" si="5"/>
        <v>124.09654984317469</v>
      </c>
      <c r="K13" s="871"/>
      <c r="L13" s="2503">
        <v>55197.88</v>
      </c>
      <c r="M13" s="871"/>
      <c r="N13" s="2503">
        <v>54600</v>
      </c>
      <c r="O13" s="871"/>
      <c r="P13" s="3053">
        <f t="shared" si="0"/>
        <v>9.5734295302047079E-3</v>
      </c>
      <c r="Q13" s="871"/>
      <c r="R13" s="3053">
        <f t="shared" si="6"/>
        <v>1.0950183150183103E-2</v>
      </c>
      <c r="S13" s="871"/>
      <c r="T13" s="3119">
        <f t="shared" si="7"/>
        <v>0.59999999999996589</v>
      </c>
      <c r="U13" s="871"/>
      <c r="V13" s="3054">
        <f t="shared" si="8"/>
        <v>1.3636983499249191E-3</v>
      </c>
      <c r="W13" s="872"/>
      <c r="X13" s="875"/>
    </row>
    <row r="14" spans="1:27">
      <c r="A14" s="865"/>
      <c r="B14" s="870" t="str">
        <f>'נתונים משותפים'!B11</f>
        <v>בתי מלון</v>
      </c>
      <c r="C14" s="3047"/>
      <c r="D14" s="2503">
        <v>84.02</v>
      </c>
      <c r="E14" s="871"/>
      <c r="F14" s="2503">
        <v>93</v>
      </c>
      <c r="G14" s="871"/>
      <c r="H14" s="3052">
        <f t="shared" si="4"/>
        <v>115.70388002856464</v>
      </c>
      <c r="I14" s="871"/>
      <c r="J14" s="3052">
        <f t="shared" si="5"/>
        <v>115.33333333333333</v>
      </c>
      <c r="K14" s="871"/>
      <c r="L14" s="2503">
        <v>9721.44</v>
      </c>
      <c r="M14" s="871"/>
      <c r="N14" s="2503">
        <v>10726</v>
      </c>
      <c r="O14" s="871"/>
      <c r="P14" s="3053">
        <f t="shared" si="0"/>
        <v>3.2128326176125289E-3</v>
      </c>
      <c r="Q14" s="871"/>
      <c r="R14" s="3053">
        <f t="shared" si="6"/>
        <v>-9.3656535521163486E-2</v>
      </c>
      <c r="S14" s="871"/>
      <c r="T14" s="3119">
        <f t="shared" si="7"/>
        <v>-8.980000000000004</v>
      </c>
      <c r="U14" s="871"/>
      <c r="V14" s="3054">
        <f t="shared" si="8"/>
        <v>-9.6559139784946277E-2</v>
      </c>
      <c r="W14" s="872"/>
      <c r="X14" s="875"/>
    </row>
    <row r="15" spans="1:27">
      <c r="A15" s="865"/>
      <c r="B15" s="870" t="str">
        <f>'נתונים משותפים'!B12</f>
        <v>מלאכה</v>
      </c>
      <c r="C15" s="3047"/>
      <c r="D15" s="2503"/>
      <c r="E15" s="871"/>
      <c r="F15" s="2503"/>
      <c r="G15" s="871"/>
      <c r="H15" s="3052">
        <f t="shared" ref="H15:H22" si="9">IF(D15&lt;&gt;0,L15/D15,0)</f>
        <v>0</v>
      </c>
      <c r="I15" s="871"/>
      <c r="J15" s="3052">
        <f t="shared" ref="J15:J22" si="10">IF(F15&lt;&gt;0,N15/F15,0)</f>
        <v>0</v>
      </c>
      <c r="K15" s="871"/>
      <c r="L15" s="2503"/>
      <c r="M15" s="871"/>
      <c r="N15" s="2503"/>
      <c r="O15" s="871"/>
      <c r="P15" s="3053">
        <f t="shared" ref="P15:P22" si="11">IF(H15&lt;&gt;0,(H15-J15)/J15,0)</f>
        <v>0</v>
      </c>
      <c r="Q15" s="871"/>
      <c r="R15" s="3053">
        <f t="shared" ref="R15:R22" si="12">IF(N15&lt;&gt;0,(L15-N15)/N15,0)</f>
        <v>0</v>
      </c>
      <c r="S15" s="871"/>
      <c r="T15" s="3119">
        <f t="shared" ref="T15:T22" si="13">D15-F15</f>
        <v>0</v>
      </c>
      <c r="U15" s="871"/>
      <c r="V15" s="3054">
        <f t="shared" si="8"/>
        <v>0</v>
      </c>
      <c r="W15" s="872"/>
      <c r="X15" s="875"/>
      <c r="Y15" s="3218"/>
      <c r="Z15" s="3218"/>
      <c r="AA15" s="3218"/>
    </row>
    <row r="16" spans="1:27">
      <c r="A16" s="865"/>
      <c r="B16" s="870" t="str">
        <f>'נתונים משותפים'!B13</f>
        <v>אדמה חקלאית</v>
      </c>
      <c r="C16" s="3047"/>
      <c r="D16" s="2503">
        <v>446.4</v>
      </c>
      <c r="E16" s="871"/>
      <c r="F16" s="2503">
        <v>499</v>
      </c>
      <c r="G16" s="871"/>
      <c r="H16" s="3052">
        <f t="shared" si="9"/>
        <v>3.6491935483870967E-2</v>
      </c>
      <c r="I16" s="871"/>
      <c r="J16" s="3052">
        <f t="shared" si="10"/>
        <v>3.6072144288577156E-2</v>
      </c>
      <c r="K16" s="871"/>
      <c r="L16" s="2503">
        <v>16.29</v>
      </c>
      <c r="M16" s="871"/>
      <c r="N16" s="2503">
        <v>18</v>
      </c>
      <c r="O16" s="871"/>
      <c r="P16" s="3053">
        <f t="shared" si="11"/>
        <v>1.1637544802867331E-2</v>
      </c>
      <c r="Q16" s="871"/>
      <c r="R16" s="3053">
        <f t="shared" si="12"/>
        <v>-9.5000000000000043E-2</v>
      </c>
      <c r="S16" s="871"/>
      <c r="T16" s="3119">
        <f t="shared" si="13"/>
        <v>-52.600000000000023</v>
      </c>
      <c r="U16" s="871"/>
      <c r="V16" s="3054">
        <f t="shared" si="8"/>
        <v>-0.10541082164328662</v>
      </c>
      <c r="W16" s="872"/>
      <c r="X16" s="875"/>
      <c r="Y16" s="3218"/>
      <c r="Z16" s="3218"/>
      <c r="AA16" s="3218"/>
    </row>
    <row r="17" spans="1:27">
      <c r="A17" s="865"/>
      <c r="B17" s="870" t="str">
        <f>'נתונים משותפים'!B14</f>
        <v>קרקע תפוסה</v>
      </c>
      <c r="C17" s="3047"/>
      <c r="D17" s="2503">
        <v>516.19000000000005</v>
      </c>
      <c r="E17" s="871"/>
      <c r="F17" s="2503">
        <v>509</v>
      </c>
      <c r="G17" s="871"/>
      <c r="H17" s="3052">
        <f t="shared" si="9"/>
        <v>22.028671613165692</v>
      </c>
      <c r="I17" s="871"/>
      <c r="J17" s="3052">
        <f t="shared" si="10"/>
        <v>21.962671905697444</v>
      </c>
      <c r="K17" s="871"/>
      <c r="L17" s="2503">
        <v>11370.98</v>
      </c>
      <c r="M17" s="871"/>
      <c r="N17" s="2503">
        <v>11179</v>
      </c>
      <c r="O17" s="871"/>
      <c r="P17" s="3053">
        <f t="shared" si="11"/>
        <v>3.0050855265531663E-3</v>
      </c>
      <c r="Q17" s="871"/>
      <c r="R17" s="3053">
        <f t="shared" si="12"/>
        <v>1.7173271312281919E-2</v>
      </c>
      <c r="S17" s="871"/>
      <c r="T17" s="3119">
        <f t="shared" si="13"/>
        <v>7.1900000000000546</v>
      </c>
      <c r="U17" s="871"/>
      <c r="V17" s="3054">
        <f t="shared" si="8"/>
        <v>1.4125736738703447E-2</v>
      </c>
      <c r="W17" s="872"/>
      <c r="X17" s="875"/>
      <c r="Y17" s="3218"/>
      <c r="Z17" s="3218"/>
      <c r="AA17" s="3218"/>
    </row>
    <row r="18" spans="1:27">
      <c r="A18" s="865"/>
      <c r="B18" s="870" t="str">
        <f>'נתונים משותפים'!B15</f>
        <v>קרקע תפוסה במפעל עתיר שטח</v>
      </c>
      <c r="C18" s="3047"/>
      <c r="D18" s="2503">
        <v>620.77</v>
      </c>
      <c r="E18" s="871"/>
      <c r="F18" s="2503">
        <v>621</v>
      </c>
      <c r="G18" s="871"/>
      <c r="H18" s="3052">
        <f t="shared" si="9"/>
        <v>6.4700130483109684</v>
      </c>
      <c r="I18" s="871"/>
      <c r="J18" s="3052">
        <f t="shared" si="10"/>
        <v>6.4170692431561998</v>
      </c>
      <c r="K18" s="871"/>
      <c r="L18" s="2503">
        <v>4016.39</v>
      </c>
      <c r="M18" s="871"/>
      <c r="N18" s="2503">
        <v>3985</v>
      </c>
      <c r="O18" s="871"/>
      <c r="P18" s="3053">
        <f t="shared" si="11"/>
        <v>8.2504649940053441E-3</v>
      </c>
      <c r="Q18" s="871"/>
      <c r="R18" s="3053">
        <f t="shared" si="12"/>
        <v>7.8770388958594416E-3</v>
      </c>
      <c r="S18" s="871"/>
      <c r="T18" s="3119">
        <f t="shared" si="13"/>
        <v>-0.23000000000001819</v>
      </c>
      <c r="U18" s="871"/>
      <c r="V18" s="3054">
        <f t="shared" si="8"/>
        <v>-3.7037037037039968E-4</v>
      </c>
      <c r="W18" s="872"/>
      <c r="X18" s="875"/>
      <c r="Y18" s="3218"/>
      <c r="Z18" s="3218"/>
      <c r="AA18" s="3218"/>
    </row>
    <row r="19" spans="1:27">
      <c r="A19" s="865"/>
      <c r="B19" s="870" t="str">
        <f>'נתונים משותפים'!B16</f>
        <v>קרקע תפוסה המשמשת לעריכת אירועים</v>
      </c>
      <c r="C19" s="3047"/>
      <c r="D19" s="2503">
        <v>3.98</v>
      </c>
      <c r="E19" s="871"/>
      <c r="F19" s="2503">
        <v>4</v>
      </c>
      <c r="G19" s="871"/>
      <c r="H19" s="3052">
        <f t="shared" si="9"/>
        <v>28.226130653266331</v>
      </c>
      <c r="I19" s="871"/>
      <c r="J19" s="3052">
        <f t="shared" si="10"/>
        <v>28</v>
      </c>
      <c r="K19" s="871"/>
      <c r="L19" s="2503">
        <v>112.34</v>
      </c>
      <c r="M19" s="871"/>
      <c r="N19" s="2503">
        <v>112</v>
      </c>
      <c r="O19" s="871"/>
      <c r="P19" s="3053">
        <f t="shared" si="11"/>
        <v>8.0760947595118291E-3</v>
      </c>
      <c r="Q19" s="871"/>
      <c r="R19" s="3053">
        <f t="shared" si="12"/>
        <v>3.035714285714316E-3</v>
      </c>
      <c r="S19" s="871"/>
      <c r="T19" s="3119">
        <f t="shared" si="13"/>
        <v>-2.0000000000000018E-2</v>
      </c>
      <c r="U19" s="871"/>
      <c r="V19" s="3054">
        <f t="shared" si="8"/>
        <v>-5.0000000000000044E-3</v>
      </c>
      <c r="W19" s="872"/>
      <c r="X19" s="875"/>
      <c r="Y19" s="3218"/>
      <c r="Z19" s="3218"/>
      <c r="AA19" s="3218"/>
    </row>
    <row r="20" spans="1:27">
      <c r="A20" s="865"/>
      <c r="B20" s="870" t="str">
        <f>'נתונים משותפים'!B17</f>
        <v>חניונים</v>
      </c>
      <c r="C20" s="3047"/>
      <c r="D20" s="2503">
        <v>607.25</v>
      </c>
      <c r="E20" s="871"/>
      <c r="F20" s="2503">
        <v>580</v>
      </c>
      <c r="G20" s="871"/>
      <c r="H20" s="3052">
        <f t="shared" si="9"/>
        <v>50.014096335940721</v>
      </c>
      <c r="I20" s="871"/>
      <c r="J20" s="3052">
        <f t="shared" si="10"/>
        <v>49.774137931034481</v>
      </c>
      <c r="K20" s="871"/>
      <c r="L20" s="2503">
        <v>30371.06</v>
      </c>
      <c r="M20" s="871"/>
      <c r="N20" s="2503">
        <v>28869</v>
      </c>
      <c r="O20" s="871"/>
      <c r="P20" s="3053">
        <f t="shared" si="11"/>
        <v>4.8209454725005735E-3</v>
      </c>
      <c r="Q20" s="871"/>
      <c r="R20" s="3053">
        <f t="shared" si="12"/>
        <v>5.2030205410648143E-2</v>
      </c>
      <c r="S20" s="871"/>
      <c r="T20" s="3119">
        <f t="shared" si="13"/>
        <v>27.25</v>
      </c>
      <c r="U20" s="871"/>
      <c r="V20" s="3054">
        <f t="shared" si="8"/>
        <v>4.6982758620689652E-2</v>
      </c>
      <c r="W20" s="872"/>
      <c r="X20" s="875"/>
      <c r="Y20" s="3218"/>
      <c r="Z20" s="3218"/>
      <c r="AA20" s="3218"/>
    </row>
    <row r="21" spans="1:27">
      <c r="A21" s="865"/>
      <c r="B21" s="870" t="str">
        <f>'נתונים משותפים'!B18</f>
        <v>מבנה חקלאי</v>
      </c>
      <c r="C21" s="3047"/>
      <c r="D21" s="2503">
        <v>1.91</v>
      </c>
      <c r="E21" s="871"/>
      <c r="F21" s="2503">
        <v>2</v>
      </c>
      <c r="G21" s="871"/>
      <c r="H21" s="3052">
        <f t="shared" si="9"/>
        <v>43.654450261780106</v>
      </c>
      <c r="I21" s="871"/>
      <c r="J21" s="3052">
        <f t="shared" si="10"/>
        <v>41.5</v>
      </c>
      <c r="K21" s="871"/>
      <c r="L21" s="2503">
        <v>83.38</v>
      </c>
      <c r="M21" s="871"/>
      <c r="N21" s="2503">
        <v>83</v>
      </c>
      <c r="O21" s="871"/>
      <c r="P21" s="3053">
        <f t="shared" si="11"/>
        <v>5.1914464139279658E-2</v>
      </c>
      <c r="Q21" s="871"/>
      <c r="R21" s="3053">
        <f t="shared" si="12"/>
        <v>4.5783132530119938E-3</v>
      </c>
      <c r="S21" s="871"/>
      <c r="T21" s="3119">
        <f t="shared" si="13"/>
        <v>-9.000000000000008E-2</v>
      </c>
      <c r="U21" s="871"/>
      <c r="V21" s="3054">
        <f t="shared" si="8"/>
        <v>-4.500000000000004E-2</v>
      </c>
      <c r="W21" s="872"/>
      <c r="X21" s="875"/>
      <c r="Y21" s="3218"/>
      <c r="Z21" s="3218"/>
      <c r="AA21" s="3218"/>
    </row>
    <row r="22" spans="1:27">
      <c r="A22" s="865"/>
      <c r="B22" s="870" t="str">
        <f>'נתונים משותפים'!B19</f>
        <v>נכסים אחרים</v>
      </c>
      <c r="C22" s="3047"/>
      <c r="D22" s="2503">
        <v>192.76</v>
      </c>
      <c r="E22" s="871"/>
      <c r="F22" s="2503">
        <v>180</v>
      </c>
      <c r="G22" s="871"/>
      <c r="H22" s="3052">
        <f t="shared" si="9"/>
        <v>109.64681469184478</v>
      </c>
      <c r="I22" s="871"/>
      <c r="J22" s="3052">
        <f t="shared" si="10"/>
        <v>111.36666666666666</v>
      </c>
      <c r="K22" s="871"/>
      <c r="L22" s="2503">
        <v>21135.52</v>
      </c>
      <c r="M22" s="871"/>
      <c r="N22" s="2503">
        <v>20046</v>
      </c>
      <c r="O22" s="871"/>
      <c r="P22" s="3053">
        <f t="shared" si="11"/>
        <v>-1.5443148531773828E-2</v>
      </c>
      <c r="Q22" s="871"/>
      <c r="R22" s="3053">
        <f t="shared" si="12"/>
        <v>5.4350992716751492E-2</v>
      </c>
      <c r="S22" s="871"/>
      <c r="T22" s="3119">
        <f t="shared" si="13"/>
        <v>12.759999999999991</v>
      </c>
      <c r="U22" s="871"/>
      <c r="V22" s="3054">
        <f t="shared" si="8"/>
        <v>7.0888888888888835E-2</v>
      </c>
      <c r="W22" s="872"/>
      <c r="X22" s="875"/>
      <c r="Y22" s="3218"/>
      <c r="Z22" s="3218"/>
      <c r="AA22" s="3218"/>
    </row>
    <row r="23" spans="1:27" ht="13.8" thickBot="1">
      <c r="A23" s="865"/>
      <c r="B23" s="870" t="s">
        <v>782</v>
      </c>
      <c r="C23" s="3047"/>
      <c r="D23" s="2516">
        <f>SUM(D9:D22)</f>
        <v>7197.17</v>
      </c>
      <c r="E23" s="876"/>
      <c r="F23" s="2516">
        <f>SUM(F9:F22)</f>
        <v>7157.98</v>
      </c>
      <c r="G23" s="876"/>
      <c r="H23" s="3056">
        <f>IF(D23&lt;&gt;0,L23/D23,0)</f>
        <v>73.447034042547287</v>
      </c>
      <c r="I23" s="876"/>
      <c r="J23" s="3056">
        <f t="shared" si="5"/>
        <v>72.677906336703941</v>
      </c>
      <c r="K23" s="876"/>
      <c r="L23" s="3055">
        <f>SUM(L9:L22)</f>
        <v>528610.79</v>
      </c>
      <c r="M23" s="876"/>
      <c r="N23" s="3055">
        <f>SUM(N9:N22)</f>
        <v>520227</v>
      </c>
      <c r="O23" s="876"/>
      <c r="P23" s="3057">
        <f t="shared" si="0"/>
        <v>1.0582689356516579E-2</v>
      </c>
      <c r="Q23" s="876"/>
      <c r="R23" s="3057">
        <f t="shared" si="6"/>
        <v>1.6115637981112162E-2</v>
      </c>
      <c r="S23" s="876"/>
      <c r="T23" s="2516">
        <f t="shared" si="7"/>
        <v>39.190000000000509</v>
      </c>
      <c r="U23" s="876"/>
      <c r="V23" s="3058">
        <f t="shared" ref="V23" si="14">IF(D23&lt;&gt;0,(D23-F23)/F23,0)</f>
        <v>5.4750083124010564E-3</v>
      </c>
      <c r="W23" s="872"/>
      <c r="X23" s="875"/>
    </row>
    <row r="24" spans="1:27" ht="13.8" thickTop="1">
      <c r="A24" s="865"/>
      <c r="B24" s="868"/>
      <c r="C24" s="3046"/>
      <c r="D24" s="583"/>
      <c r="E24" s="583"/>
      <c r="F24" s="583"/>
      <c r="G24" s="583"/>
      <c r="H24" s="583"/>
      <c r="I24" s="583"/>
      <c r="J24" s="583"/>
      <c r="K24" s="583"/>
      <c r="L24" s="583"/>
      <c r="M24" s="583"/>
      <c r="N24" s="583"/>
      <c r="O24" s="583"/>
      <c r="P24" s="583"/>
      <c r="Q24" s="583"/>
      <c r="R24" s="583"/>
      <c r="S24" s="583"/>
      <c r="T24" s="583"/>
      <c r="U24" s="869"/>
      <c r="V24" s="2124"/>
      <c r="W24" s="195"/>
      <c r="X24" s="178"/>
    </row>
    <row r="25" spans="1:27">
      <c r="A25" s="865"/>
      <c r="B25" s="870" t="str">
        <f>'נתונים משותפים'!B20</f>
        <v>אזורי תעשיה משותפים</v>
      </c>
      <c r="C25" s="3046"/>
      <c r="D25" s="2503"/>
      <c r="E25" s="871"/>
      <c r="F25" s="2503"/>
      <c r="G25" s="871"/>
      <c r="H25" s="3052">
        <f>IF(D25&lt;&gt;0,L25/D25,0)</f>
        <v>0</v>
      </c>
      <c r="I25" s="871"/>
      <c r="J25" s="3052">
        <f t="shared" si="5"/>
        <v>0</v>
      </c>
      <c r="K25" s="871"/>
      <c r="L25" s="2609"/>
      <c r="M25" s="871"/>
      <c r="N25" s="2609"/>
      <c r="O25" s="871"/>
      <c r="P25" s="3053">
        <f>IF(H25&lt;&gt;0,(H25-J25)/J25,0)</f>
        <v>0</v>
      </c>
      <c r="Q25" s="871"/>
      <c r="R25" s="3053">
        <f t="shared" si="6"/>
        <v>0</v>
      </c>
      <c r="S25" s="871"/>
      <c r="T25" s="3119">
        <f t="shared" si="7"/>
        <v>0</v>
      </c>
      <c r="U25" s="871"/>
      <c r="V25" s="3054">
        <f t="shared" ref="V25" si="15">IF(AND(D25&lt;&gt;0,F25&lt;&gt;0),(D25-F25)/F25,0)</f>
        <v>0</v>
      </c>
      <c r="W25" s="195"/>
      <c r="X25" s="178"/>
    </row>
    <row r="26" spans="1:27">
      <c r="A26" s="865"/>
      <c r="B26" s="868"/>
      <c r="C26" s="3046"/>
      <c r="D26" s="583"/>
      <c r="E26" s="583"/>
      <c r="F26" s="583"/>
      <c r="G26" s="583"/>
      <c r="H26" s="583"/>
      <c r="I26" s="583"/>
      <c r="J26" s="583"/>
      <c r="K26" s="583"/>
      <c r="L26" s="583"/>
      <c r="M26" s="583"/>
      <c r="N26" s="583"/>
      <c r="O26" s="583"/>
      <c r="P26" s="583"/>
      <c r="Q26" s="583"/>
      <c r="R26" s="583"/>
      <c r="S26" s="583"/>
      <c r="T26" s="583"/>
      <c r="U26" s="869"/>
      <c r="V26" s="2124"/>
      <c r="W26" s="195"/>
      <c r="X26" s="178"/>
    </row>
    <row r="27" spans="1:27">
      <c r="A27" s="865"/>
      <c r="B27" s="877"/>
      <c r="C27" s="878"/>
      <c r="D27" s="878"/>
      <c r="E27" s="879"/>
      <c r="F27" s="878"/>
      <c r="G27" s="879"/>
      <c r="H27" s="879"/>
      <c r="I27" s="879"/>
      <c r="J27" s="879"/>
      <c r="K27" s="879"/>
      <c r="L27" s="879"/>
      <c r="M27" s="879"/>
      <c r="N27" s="879"/>
      <c r="O27" s="879"/>
      <c r="P27" s="878"/>
      <c r="Q27" s="879"/>
      <c r="R27" s="878"/>
      <c r="S27" s="879"/>
      <c r="T27" s="878"/>
      <c r="U27" s="879"/>
      <c r="V27" s="1171"/>
      <c r="W27" s="872"/>
      <c r="X27" s="875"/>
    </row>
    <row r="28" spans="1:27">
      <c r="A28" s="865"/>
      <c r="B28" s="3059"/>
      <c r="C28" s="3059"/>
      <c r="D28" s="3059"/>
      <c r="E28" s="3060"/>
      <c r="F28" s="3059"/>
      <c r="G28" s="3060"/>
      <c r="H28" s="3060"/>
      <c r="I28" s="3060"/>
      <c r="J28" s="3060"/>
      <c r="K28" s="3060"/>
      <c r="L28" s="3060"/>
      <c r="M28" s="3060"/>
      <c r="N28" s="3060"/>
      <c r="O28" s="3060"/>
      <c r="P28" s="3059"/>
      <c r="Q28" s="3060"/>
      <c r="R28" s="3059"/>
      <c r="S28" s="3060"/>
      <c r="T28" s="3059"/>
      <c r="U28" s="3060"/>
      <c r="V28" s="1085"/>
      <c r="W28" s="872"/>
      <c r="X28" s="875"/>
    </row>
    <row r="29" spans="1:27">
      <c r="A29" s="865"/>
      <c r="B29" s="195" t="s">
        <v>752</v>
      </c>
      <c r="C29" s="195"/>
      <c r="D29" s="195"/>
      <c r="E29" s="880"/>
      <c r="F29" s="195"/>
      <c r="G29" s="880"/>
      <c r="H29" s="195"/>
      <c r="I29" s="880"/>
      <c r="J29" s="880"/>
      <c r="K29" s="880"/>
      <c r="L29" s="880"/>
      <c r="M29" s="880"/>
      <c r="N29" s="880"/>
      <c r="O29" s="880"/>
      <c r="P29" s="880"/>
      <c r="Q29" s="880"/>
      <c r="R29" s="880"/>
      <c r="S29" s="880"/>
      <c r="T29" s="880"/>
      <c r="U29" s="880"/>
      <c r="V29" s="880"/>
      <c r="W29" s="195"/>
      <c r="X29" s="178"/>
    </row>
    <row r="30" spans="1:27">
      <c r="A30" s="865"/>
      <c r="B30" s="195" t="s">
        <v>753</v>
      </c>
      <c r="C30" s="195"/>
      <c r="D30" s="195"/>
      <c r="E30" s="880"/>
      <c r="F30" s="195"/>
      <c r="G30" s="880"/>
      <c r="H30" s="195"/>
      <c r="I30" s="880"/>
      <c r="J30" s="880"/>
      <c r="K30" s="880"/>
      <c r="L30" s="880"/>
      <c r="M30" s="880"/>
      <c r="N30" s="880"/>
      <c r="O30" s="880"/>
      <c r="P30" s="880"/>
      <c r="Q30" s="880"/>
      <c r="R30" s="880"/>
      <c r="S30" s="880"/>
      <c r="T30" s="880"/>
      <c r="U30" s="880"/>
      <c r="V30" s="880"/>
      <c r="W30" s="195"/>
      <c r="X30" s="178"/>
    </row>
    <row r="31" spans="1:27">
      <c r="A31" s="865"/>
      <c r="B31" s="3122" t="s">
        <v>2447</v>
      </c>
      <c r="C31" s="195"/>
      <c r="D31" s="195"/>
      <c r="E31" s="880"/>
      <c r="F31" s="195"/>
      <c r="G31" s="880"/>
      <c r="H31" s="195"/>
      <c r="I31" s="880"/>
      <c r="J31" s="880"/>
      <c r="K31" s="880"/>
      <c r="L31" s="880"/>
      <c r="M31" s="880"/>
      <c r="N31" s="880"/>
      <c r="O31" s="880"/>
      <c r="P31" s="880"/>
      <c r="Q31" s="880"/>
      <c r="R31" s="880"/>
      <c r="S31" s="880"/>
      <c r="T31" s="880"/>
      <c r="U31" s="880"/>
      <c r="V31" s="880"/>
      <c r="W31" s="195"/>
      <c r="X31" s="178"/>
    </row>
    <row r="32" spans="1:27" ht="13.8" thickBot="1">
      <c r="A32" s="865"/>
      <c r="B32" s="865"/>
      <c r="C32" s="865"/>
      <c r="D32" s="865"/>
      <c r="E32" s="865"/>
      <c r="F32" s="865"/>
      <c r="G32" s="865"/>
      <c r="H32" s="865"/>
      <c r="I32" s="865"/>
      <c r="J32" s="865"/>
      <c r="K32" s="865"/>
      <c r="L32" s="865"/>
      <c r="M32" s="865"/>
      <c r="N32" s="865"/>
      <c r="O32" s="865"/>
      <c r="P32" s="865"/>
      <c r="Q32" s="865"/>
      <c r="R32" s="865"/>
      <c r="S32" s="865"/>
      <c r="T32" s="865"/>
      <c r="U32" s="865"/>
      <c r="V32" s="865"/>
      <c r="W32" s="195"/>
      <c r="X32" s="178"/>
    </row>
    <row r="33" spans="1:24" ht="13.8" thickTop="1">
      <c r="A33" s="881"/>
      <c r="B33" s="286"/>
      <c r="C33" s="286"/>
      <c r="D33" s="286"/>
      <c r="E33" s="882"/>
      <c r="F33" s="286"/>
      <c r="G33" s="882"/>
      <c r="H33" s="286"/>
      <c r="I33" s="882"/>
      <c r="J33" s="882"/>
      <c r="K33" s="882"/>
      <c r="L33" s="882"/>
      <c r="M33" s="882"/>
      <c r="N33" s="882"/>
      <c r="O33" s="882"/>
      <c r="P33" s="882"/>
      <c r="Q33" s="882"/>
      <c r="R33" s="882"/>
      <c r="S33" s="882"/>
      <c r="T33" s="882"/>
      <c r="U33" s="882"/>
      <c r="V33" s="882"/>
      <c r="W33" s="286"/>
      <c r="X33" s="179"/>
    </row>
    <row r="34" spans="1:24">
      <c r="B34" s="179"/>
      <c r="C34" s="179"/>
      <c r="D34" s="179"/>
      <c r="E34" s="883"/>
      <c r="F34" s="179"/>
      <c r="G34" s="883"/>
      <c r="H34" s="179"/>
      <c r="I34" s="883"/>
      <c r="J34" s="883"/>
      <c r="K34" s="883"/>
      <c r="L34" s="883"/>
      <c r="M34" s="883"/>
      <c r="N34" s="883"/>
      <c r="O34" s="883"/>
      <c r="P34" s="883"/>
      <c r="Q34" s="883"/>
      <c r="R34" s="883"/>
      <c r="S34" s="883"/>
      <c r="T34" s="883"/>
      <c r="U34" s="883"/>
      <c r="V34" s="883"/>
      <c r="W34" s="179"/>
      <c r="X34" s="179"/>
    </row>
    <row r="35" spans="1:24">
      <c r="B35" s="179"/>
      <c r="C35" s="179"/>
      <c r="D35" s="179"/>
      <c r="E35" s="883"/>
      <c r="F35" s="179"/>
      <c r="G35" s="883"/>
      <c r="H35" s="179"/>
      <c r="I35" s="883"/>
      <c r="J35" s="883"/>
      <c r="K35" s="883"/>
      <c r="L35" s="883"/>
      <c r="M35" s="883"/>
      <c r="N35" s="883"/>
      <c r="O35" s="883"/>
      <c r="P35" s="883"/>
      <c r="Q35" s="883"/>
      <c r="R35" s="883"/>
      <c r="S35" s="883"/>
      <c r="T35" s="883"/>
      <c r="U35" s="883"/>
      <c r="V35" s="883"/>
      <c r="W35" s="179"/>
      <c r="X35" s="179"/>
    </row>
    <row r="36" spans="1:24">
      <c r="B36" s="179"/>
      <c r="C36" s="179"/>
      <c r="D36" s="179"/>
      <c r="E36" s="883"/>
      <c r="F36" s="179"/>
      <c r="G36" s="883"/>
      <c r="H36" s="179"/>
      <c r="I36" s="883"/>
      <c r="J36" s="883"/>
      <c r="K36" s="883"/>
      <c r="L36" s="883"/>
      <c r="M36" s="883"/>
      <c r="N36" s="883"/>
      <c r="O36" s="883"/>
      <c r="P36" s="883"/>
      <c r="Q36" s="883"/>
      <c r="R36" s="883"/>
      <c r="S36" s="883"/>
      <c r="T36" s="883"/>
      <c r="U36" s="883"/>
      <c r="V36" s="883"/>
      <c r="W36" s="179"/>
      <c r="X36" s="179"/>
    </row>
    <row r="37" spans="1:24">
      <c r="B37" s="179"/>
      <c r="C37" s="179"/>
      <c r="D37" s="179"/>
      <c r="E37" s="883"/>
      <c r="F37" s="179"/>
      <c r="G37" s="883"/>
      <c r="H37" s="179"/>
      <c r="I37" s="883"/>
      <c r="J37" s="883"/>
      <c r="K37" s="883"/>
      <c r="L37" s="883"/>
      <c r="M37" s="883"/>
      <c r="N37" s="883"/>
      <c r="O37" s="883"/>
      <c r="P37" s="883"/>
      <c r="Q37" s="883"/>
      <c r="R37" s="883"/>
      <c r="S37" s="883"/>
      <c r="T37" s="883"/>
      <c r="U37" s="883"/>
      <c r="V37" s="883"/>
      <c r="W37" s="179"/>
      <c r="X37" s="179"/>
    </row>
    <row r="38" spans="1:24">
      <c r="B38" s="179"/>
      <c r="C38" s="179"/>
      <c r="D38" s="179"/>
      <c r="E38" s="883"/>
      <c r="F38" s="179"/>
      <c r="G38" s="883"/>
      <c r="H38" s="179"/>
      <c r="I38" s="883"/>
      <c r="J38" s="883"/>
      <c r="K38" s="883"/>
      <c r="L38" s="883"/>
      <c r="M38" s="883"/>
      <c r="N38" s="883"/>
      <c r="O38" s="883"/>
      <c r="P38" s="883"/>
      <c r="Q38" s="883"/>
      <c r="R38" s="883"/>
      <c r="S38" s="883"/>
      <c r="T38" s="883"/>
      <c r="U38" s="883"/>
      <c r="V38" s="883"/>
      <c r="W38" s="179"/>
      <c r="X38" s="179"/>
    </row>
    <row r="39" spans="1:24">
      <c r="B39" s="179"/>
      <c r="C39" s="179"/>
      <c r="D39" s="179"/>
      <c r="E39" s="883"/>
      <c r="F39" s="179"/>
      <c r="G39" s="883"/>
      <c r="H39" s="179"/>
      <c r="I39" s="883"/>
      <c r="J39" s="883"/>
      <c r="K39" s="883"/>
      <c r="L39" s="883"/>
      <c r="M39" s="883"/>
      <c r="N39" s="883"/>
      <c r="O39" s="883"/>
      <c r="P39" s="883"/>
      <c r="Q39" s="883"/>
      <c r="R39" s="883"/>
      <c r="S39" s="883"/>
      <c r="T39" s="883"/>
      <c r="U39" s="883"/>
      <c r="V39" s="883"/>
      <c r="W39" s="179"/>
      <c r="X39" s="179"/>
    </row>
    <row r="40" spans="1:24">
      <c r="B40" s="179"/>
      <c r="C40" s="179"/>
      <c r="D40" s="179"/>
      <c r="E40" s="883"/>
      <c r="F40" s="179"/>
      <c r="G40" s="883"/>
      <c r="H40" s="179"/>
      <c r="I40" s="883"/>
      <c r="J40" s="883"/>
      <c r="K40" s="883"/>
      <c r="L40" s="883"/>
      <c r="M40" s="883"/>
      <c r="N40" s="883"/>
      <c r="O40" s="883"/>
      <c r="P40" s="883"/>
      <c r="Q40" s="883"/>
      <c r="R40" s="883"/>
      <c r="S40" s="883"/>
      <c r="T40" s="883"/>
      <c r="U40" s="883"/>
      <c r="V40" s="883"/>
      <c r="W40" s="179"/>
      <c r="X40" s="179"/>
    </row>
    <row r="41" spans="1:24">
      <c r="B41" s="179"/>
      <c r="C41" s="179"/>
      <c r="D41" s="179"/>
      <c r="E41" s="883"/>
      <c r="F41" s="179"/>
      <c r="G41" s="883"/>
      <c r="H41" s="179"/>
      <c r="I41" s="883"/>
      <c r="J41" s="883"/>
      <c r="K41" s="883"/>
      <c r="L41" s="883"/>
      <c r="M41" s="883"/>
      <c r="N41" s="883"/>
      <c r="O41" s="883"/>
      <c r="P41" s="883"/>
      <c r="Q41" s="883"/>
      <c r="R41" s="883"/>
      <c r="S41" s="883"/>
      <c r="T41" s="883"/>
      <c r="U41" s="883"/>
      <c r="V41" s="883"/>
      <c r="W41" s="179"/>
      <c r="X41" s="179"/>
    </row>
    <row r="42" spans="1:24">
      <c r="B42" s="179"/>
      <c r="C42" s="179"/>
      <c r="D42" s="179"/>
      <c r="E42" s="883"/>
      <c r="F42" s="179"/>
      <c r="G42" s="883"/>
      <c r="H42" s="179"/>
      <c r="I42" s="883"/>
      <c r="J42" s="883"/>
      <c r="K42" s="883"/>
      <c r="L42" s="883"/>
      <c r="M42" s="883"/>
      <c r="N42" s="883"/>
      <c r="O42" s="883"/>
      <c r="P42" s="883"/>
      <c r="Q42" s="883"/>
      <c r="R42" s="883"/>
      <c r="S42" s="883"/>
      <c r="T42" s="883"/>
      <c r="U42" s="883"/>
      <c r="V42" s="883"/>
      <c r="W42" s="179"/>
      <c r="X42" s="179"/>
    </row>
    <row r="43" spans="1:24">
      <c r="B43" s="179"/>
      <c r="C43" s="179"/>
      <c r="D43" s="179"/>
      <c r="E43" s="883"/>
      <c r="F43" s="179"/>
      <c r="G43" s="883"/>
      <c r="H43" s="179"/>
      <c r="I43" s="883"/>
      <c r="J43" s="883"/>
      <c r="K43" s="883"/>
      <c r="L43" s="883"/>
      <c r="M43" s="883"/>
      <c r="N43" s="883"/>
      <c r="O43" s="883"/>
      <c r="P43" s="883"/>
      <c r="Q43" s="883"/>
      <c r="R43" s="883"/>
      <c r="S43" s="883"/>
      <c r="T43" s="883"/>
      <c r="U43" s="883"/>
      <c r="V43" s="883"/>
      <c r="W43" s="179"/>
      <c r="X43" s="179"/>
    </row>
    <row r="44" spans="1:24">
      <c r="B44" s="179"/>
      <c r="C44" s="179"/>
      <c r="D44" s="179"/>
      <c r="E44" s="883"/>
      <c r="F44" s="179"/>
      <c r="G44" s="883"/>
      <c r="H44" s="179"/>
      <c r="I44" s="883"/>
      <c r="J44" s="883"/>
      <c r="K44" s="883"/>
      <c r="L44" s="883"/>
      <c r="M44" s="883"/>
      <c r="N44" s="883"/>
      <c r="O44" s="883"/>
      <c r="P44" s="883"/>
      <c r="Q44" s="883"/>
      <c r="R44" s="883"/>
      <c r="S44" s="883"/>
      <c r="T44" s="883"/>
      <c r="U44" s="883"/>
      <c r="V44" s="883"/>
      <c r="W44" s="179"/>
      <c r="X44" s="179"/>
    </row>
    <row r="45" spans="1:24">
      <c r="B45" s="179"/>
      <c r="C45" s="179"/>
      <c r="D45" s="179"/>
      <c r="E45" s="883"/>
      <c r="F45" s="179"/>
      <c r="G45" s="883"/>
      <c r="H45" s="179"/>
      <c r="I45" s="883"/>
      <c r="J45" s="883"/>
      <c r="K45" s="883"/>
      <c r="L45" s="883"/>
      <c r="M45" s="883"/>
      <c r="N45" s="883"/>
      <c r="O45" s="883"/>
      <c r="P45" s="883"/>
      <c r="Q45" s="883"/>
      <c r="R45" s="883"/>
      <c r="S45" s="883"/>
      <c r="T45" s="883"/>
      <c r="U45" s="883"/>
      <c r="V45" s="883"/>
      <c r="W45" s="179"/>
      <c r="X45" s="179"/>
    </row>
    <row r="46" spans="1:24">
      <c r="B46" s="179"/>
      <c r="C46" s="179"/>
      <c r="D46" s="179"/>
      <c r="E46" s="883"/>
      <c r="F46" s="179"/>
      <c r="G46" s="883"/>
      <c r="H46" s="179"/>
      <c r="I46" s="883"/>
      <c r="J46" s="883"/>
      <c r="K46" s="883"/>
      <c r="L46" s="883"/>
      <c r="M46" s="883"/>
      <c r="N46" s="883"/>
      <c r="O46" s="883"/>
      <c r="P46" s="883"/>
      <c r="Q46" s="883"/>
      <c r="R46" s="883"/>
      <c r="S46" s="883"/>
      <c r="T46" s="883"/>
      <c r="U46" s="883"/>
      <c r="V46" s="883"/>
      <c r="W46" s="179"/>
      <c r="X46" s="179"/>
    </row>
    <row r="47" spans="1:24">
      <c r="B47" s="179"/>
      <c r="C47" s="179"/>
      <c r="D47" s="179"/>
      <c r="E47" s="883"/>
      <c r="F47" s="179"/>
      <c r="G47" s="883"/>
      <c r="H47" s="179"/>
      <c r="I47" s="883"/>
      <c r="J47" s="883"/>
      <c r="K47" s="883"/>
      <c r="L47" s="883"/>
      <c r="M47" s="883"/>
      <c r="N47" s="883"/>
      <c r="O47" s="883"/>
      <c r="P47" s="883"/>
      <c r="Q47" s="883"/>
      <c r="R47" s="883"/>
      <c r="S47" s="883"/>
      <c r="T47" s="883"/>
      <c r="U47" s="883"/>
      <c r="V47" s="883"/>
      <c r="W47" s="179"/>
      <c r="X47" s="179"/>
    </row>
    <row r="48" spans="1:24">
      <c r="B48" s="179"/>
      <c r="C48" s="179"/>
      <c r="D48" s="179"/>
      <c r="E48" s="883"/>
      <c r="F48" s="179"/>
      <c r="G48" s="883"/>
      <c r="H48" s="179"/>
      <c r="I48" s="883"/>
      <c r="J48" s="883"/>
      <c r="K48" s="883"/>
      <c r="L48" s="883"/>
      <c r="M48" s="883"/>
      <c r="N48" s="883"/>
      <c r="O48" s="883"/>
      <c r="P48" s="883"/>
      <c r="Q48" s="883"/>
      <c r="R48" s="883"/>
      <c r="S48" s="883"/>
      <c r="T48" s="883"/>
      <c r="U48" s="883"/>
      <c r="V48" s="883"/>
      <c r="W48" s="179"/>
      <c r="X48" s="179"/>
    </row>
    <row r="49" spans="2:24">
      <c r="B49" s="179"/>
      <c r="C49" s="179"/>
      <c r="D49" s="179"/>
      <c r="E49" s="883"/>
      <c r="F49" s="179"/>
      <c r="G49" s="883"/>
      <c r="H49" s="179"/>
      <c r="I49" s="883"/>
      <c r="J49" s="883"/>
      <c r="K49" s="883"/>
      <c r="L49" s="883"/>
      <c r="M49" s="883"/>
      <c r="N49" s="883"/>
      <c r="O49" s="883"/>
      <c r="P49" s="883"/>
      <c r="Q49" s="883"/>
      <c r="R49" s="883"/>
      <c r="S49" s="883"/>
      <c r="T49" s="883"/>
      <c r="U49" s="883"/>
      <c r="V49" s="883"/>
      <c r="W49" s="179"/>
      <c r="X49" s="179"/>
    </row>
    <row r="50" spans="2:24">
      <c r="B50" s="179"/>
      <c r="C50" s="179"/>
      <c r="D50" s="179"/>
      <c r="E50" s="883"/>
      <c r="F50" s="179"/>
      <c r="G50" s="883"/>
      <c r="H50" s="179"/>
      <c r="I50" s="883"/>
      <c r="J50" s="883"/>
      <c r="K50" s="883"/>
      <c r="L50" s="883"/>
      <c r="M50" s="883"/>
      <c r="N50" s="883"/>
      <c r="O50" s="883"/>
      <c r="P50" s="883"/>
      <c r="Q50" s="883"/>
      <c r="R50" s="883"/>
      <c r="S50" s="883"/>
      <c r="T50" s="883"/>
      <c r="U50" s="883"/>
      <c r="V50" s="883"/>
      <c r="W50" s="179"/>
      <c r="X50" s="179"/>
    </row>
    <row r="51" spans="2:24">
      <c r="B51" s="179"/>
      <c r="C51" s="179"/>
      <c r="D51" s="179"/>
      <c r="E51" s="883"/>
      <c r="F51" s="179"/>
      <c r="G51" s="883"/>
      <c r="H51" s="179"/>
      <c r="I51" s="883"/>
      <c r="J51" s="883"/>
      <c r="K51" s="883"/>
      <c r="L51" s="883"/>
      <c r="M51" s="883"/>
      <c r="N51" s="883"/>
      <c r="O51" s="883"/>
      <c r="P51" s="883"/>
      <c r="Q51" s="883"/>
      <c r="R51" s="883"/>
      <c r="S51" s="883"/>
      <c r="T51" s="883"/>
      <c r="U51" s="883"/>
      <c r="V51" s="883"/>
      <c r="W51" s="179"/>
      <c r="X51" s="179"/>
    </row>
    <row r="52" spans="2:24">
      <c r="B52" s="179"/>
      <c r="C52" s="179"/>
      <c r="D52" s="179"/>
      <c r="E52" s="883"/>
      <c r="F52" s="179"/>
      <c r="G52" s="883"/>
      <c r="H52" s="179"/>
      <c r="I52" s="883"/>
      <c r="J52" s="883"/>
      <c r="K52" s="883"/>
      <c r="L52" s="883"/>
      <c r="M52" s="883"/>
      <c r="N52" s="883"/>
      <c r="O52" s="883"/>
      <c r="P52" s="883"/>
      <c r="Q52" s="883"/>
      <c r="R52" s="883"/>
      <c r="S52" s="883"/>
      <c r="T52" s="883"/>
      <c r="U52" s="883"/>
      <c r="V52" s="883"/>
      <c r="W52" s="179"/>
      <c r="X52" s="179"/>
    </row>
    <row r="53" spans="2:24">
      <c r="B53" s="179"/>
      <c r="C53" s="179"/>
      <c r="D53" s="179"/>
      <c r="E53" s="883"/>
      <c r="F53" s="179"/>
      <c r="G53" s="883"/>
      <c r="H53" s="179"/>
      <c r="I53" s="883"/>
      <c r="J53" s="883"/>
      <c r="K53" s="883"/>
      <c r="L53" s="883"/>
      <c r="M53" s="883"/>
      <c r="N53" s="883"/>
      <c r="O53" s="883"/>
      <c r="P53" s="883"/>
      <c r="Q53" s="883"/>
      <c r="R53" s="883"/>
      <c r="S53" s="883"/>
      <c r="T53" s="883"/>
      <c r="U53" s="883"/>
      <c r="V53" s="883"/>
      <c r="W53" s="179"/>
      <c r="X53" s="179"/>
    </row>
    <row r="54" spans="2:24">
      <c r="B54" s="179"/>
      <c r="C54" s="179"/>
      <c r="D54" s="179"/>
      <c r="E54" s="883"/>
      <c r="F54" s="179"/>
      <c r="G54" s="883"/>
      <c r="H54" s="179"/>
      <c r="I54" s="883"/>
      <c r="J54" s="883"/>
      <c r="K54" s="883"/>
      <c r="L54" s="883"/>
      <c r="M54" s="883"/>
      <c r="N54" s="883"/>
      <c r="O54" s="883"/>
      <c r="P54" s="883"/>
      <c r="Q54" s="883"/>
      <c r="R54" s="883"/>
      <c r="S54" s="883"/>
      <c r="T54" s="883"/>
      <c r="U54" s="883"/>
      <c r="V54" s="883"/>
      <c r="W54" s="179"/>
      <c r="X54" s="179"/>
    </row>
    <row r="55" spans="2:24">
      <c r="B55" s="179"/>
      <c r="C55" s="179"/>
      <c r="D55" s="179"/>
      <c r="E55" s="883"/>
      <c r="F55" s="179"/>
      <c r="G55" s="883"/>
      <c r="H55" s="179"/>
      <c r="I55" s="883"/>
      <c r="J55" s="883"/>
      <c r="K55" s="883"/>
      <c r="L55" s="883"/>
      <c r="M55" s="883"/>
      <c r="N55" s="883"/>
      <c r="O55" s="883"/>
      <c r="P55" s="883"/>
      <c r="Q55" s="883"/>
      <c r="R55" s="883"/>
      <c r="S55" s="883"/>
      <c r="T55" s="883"/>
      <c r="U55" s="883"/>
      <c r="V55" s="883"/>
      <c r="W55" s="179"/>
      <c r="X55" s="179"/>
    </row>
    <row r="56" spans="2:24">
      <c r="B56" s="179"/>
      <c r="C56" s="179"/>
      <c r="D56" s="179"/>
      <c r="E56" s="883"/>
      <c r="F56" s="179"/>
      <c r="G56" s="883"/>
      <c r="H56" s="179"/>
      <c r="I56" s="883"/>
      <c r="J56" s="883"/>
      <c r="K56" s="883"/>
      <c r="L56" s="883"/>
      <c r="M56" s="883"/>
      <c r="N56" s="883"/>
      <c r="O56" s="883"/>
      <c r="P56" s="883"/>
      <c r="Q56" s="883"/>
      <c r="R56" s="883"/>
      <c r="S56" s="883"/>
      <c r="T56" s="883"/>
      <c r="U56" s="883"/>
      <c r="V56" s="883"/>
      <c r="W56" s="179"/>
      <c r="X56" s="179"/>
    </row>
    <row r="57" spans="2:24">
      <c r="B57" s="179"/>
      <c r="C57" s="179"/>
      <c r="D57" s="179"/>
      <c r="E57" s="883"/>
      <c r="F57" s="179"/>
      <c r="G57" s="883"/>
      <c r="H57" s="179"/>
      <c r="I57" s="883"/>
      <c r="J57" s="883"/>
      <c r="K57" s="883"/>
      <c r="L57" s="883"/>
      <c r="M57" s="883"/>
      <c r="N57" s="883"/>
      <c r="O57" s="883"/>
      <c r="P57" s="883"/>
      <c r="Q57" s="883"/>
      <c r="R57" s="883"/>
      <c r="S57" s="883"/>
      <c r="T57" s="883"/>
      <c r="U57" s="883"/>
      <c r="V57" s="883"/>
      <c r="W57" s="179"/>
      <c r="X57" s="179"/>
    </row>
    <row r="58" spans="2:24">
      <c r="B58" s="179"/>
      <c r="C58" s="179"/>
      <c r="D58" s="179"/>
      <c r="E58" s="883"/>
      <c r="F58" s="179"/>
      <c r="G58" s="883"/>
      <c r="H58" s="179"/>
      <c r="I58" s="883"/>
      <c r="J58" s="883"/>
      <c r="K58" s="883"/>
      <c r="L58" s="883"/>
      <c r="M58" s="883"/>
      <c r="N58" s="883"/>
      <c r="O58" s="883"/>
      <c r="P58" s="883"/>
      <c r="Q58" s="883"/>
      <c r="R58" s="883"/>
      <c r="S58" s="883"/>
      <c r="T58" s="883"/>
      <c r="U58" s="883"/>
      <c r="V58" s="883"/>
      <c r="W58" s="179"/>
      <c r="X58" s="179"/>
    </row>
    <row r="59" spans="2:24">
      <c r="B59" s="179"/>
      <c r="C59" s="179"/>
      <c r="D59" s="179"/>
      <c r="E59" s="883"/>
      <c r="F59" s="179"/>
      <c r="G59" s="883"/>
      <c r="H59" s="179"/>
      <c r="I59" s="883"/>
      <c r="J59" s="883"/>
      <c r="K59" s="883"/>
      <c r="L59" s="883"/>
      <c r="M59" s="883"/>
      <c r="N59" s="883"/>
      <c r="O59" s="883"/>
      <c r="P59" s="883"/>
      <c r="Q59" s="883"/>
      <c r="R59" s="883"/>
      <c r="S59" s="883"/>
      <c r="T59" s="883"/>
      <c r="U59" s="883"/>
      <c r="V59" s="883"/>
      <c r="W59" s="179"/>
      <c r="X59" s="179"/>
    </row>
    <row r="60" spans="2:24">
      <c r="B60" s="179"/>
      <c r="C60" s="179"/>
      <c r="D60" s="179"/>
      <c r="E60" s="883"/>
      <c r="F60" s="179"/>
      <c r="G60" s="883"/>
      <c r="H60" s="179"/>
      <c r="I60" s="883"/>
      <c r="J60" s="883"/>
      <c r="K60" s="883"/>
      <c r="L60" s="883"/>
      <c r="M60" s="883"/>
      <c r="N60" s="883"/>
      <c r="O60" s="883"/>
      <c r="P60" s="883"/>
      <c r="Q60" s="883"/>
      <c r="R60" s="883"/>
      <c r="S60" s="883"/>
      <c r="T60" s="883"/>
      <c r="U60" s="883"/>
      <c r="V60" s="883"/>
      <c r="W60" s="179"/>
      <c r="X60" s="179"/>
    </row>
    <row r="61" spans="2:24">
      <c r="B61" s="179"/>
      <c r="C61" s="179"/>
      <c r="D61" s="179"/>
      <c r="E61" s="883"/>
      <c r="F61" s="179"/>
      <c r="G61" s="883"/>
      <c r="H61" s="179"/>
      <c r="I61" s="883"/>
      <c r="J61" s="883"/>
      <c r="K61" s="883"/>
      <c r="L61" s="883"/>
      <c r="M61" s="883"/>
      <c r="N61" s="883"/>
      <c r="O61" s="883"/>
      <c r="P61" s="883"/>
      <c r="Q61" s="883"/>
      <c r="R61" s="883"/>
      <c r="S61" s="883"/>
      <c r="T61" s="883"/>
      <c r="U61" s="883"/>
      <c r="V61" s="883"/>
      <c r="W61" s="179"/>
      <c r="X61" s="179"/>
    </row>
    <row r="62" spans="2:24">
      <c r="B62" s="179"/>
      <c r="C62" s="179"/>
      <c r="D62" s="179"/>
      <c r="E62" s="883"/>
      <c r="F62" s="179"/>
      <c r="G62" s="883"/>
      <c r="H62" s="179"/>
      <c r="I62" s="883"/>
      <c r="J62" s="883"/>
      <c r="K62" s="883"/>
      <c r="L62" s="883"/>
      <c r="M62" s="883"/>
      <c r="N62" s="883"/>
      <c r="O62" s="883"/>
      <c r="P62" s="883"/>
      <c r="Q62" s="883"/>
      <c r="R62" s="883"/>
      <c r="S62" s="883"/>
      <c r="T62" s="883"/>
      <c r="U62" s="883"/>
      <c r="V62" s="883"/>
      <c r="W62" s="179"/>
      <c r="X62" s="179"/>
    </row>
    <row r="63" spans="2:24">
      <c r="B63" s="179"/>
      <c r="C63" s="179"/>
      <c r="D63" s="179"/>
      <c r="E63" s="883"/>
      <c r="F63" s="179"/>
      <c r="G63" s="883"/>
      <c r="H63" s="179"/>
      <c r="I63" s="883"/>
      <c r="J63" s="883"/>
      <c r="K63" s="883"/>
      <c r="L63" s="883"/>
      <c r="M63" s="883"/>
      <c r="N63" s="883"/>
      <c r="O63" s="883"/>
      <c r="P63" s="883"/>
      <c r="Q63" s="883"/>
      <c r="R63" s="883"/>
      <c r="S63" s="883"/>
      <c r="T63" s="883"/>
      <c r="U63" s="883"/>
      <c r="V63" s="883"/>
      <c r="W63" s="179"/>
      <c r="X63" s="179"/>
    </row>
    <row r="64" spans="2:24">
      <c r="B64" s="179"/>
      <c r="C64" s="179"/>
      <c r="D64" s="179"/>
      <c r="E64" s="883"/>
      <c r="F64" s="179"/>
      <c r="G64" s="883"/>
      <c r="H64" s="179"/>
      <c r="I64" s="883"/>
      <c r="J64" s="883"/>
      <c r="K64" s="883"/>
      <c r="L64" s="883"/>
      <c r="M64" s="883"/>
      <c r="N64" s="883"/>
      <c r="O64" s="883"/>
      <c r="P64" s="883"/>
      <c r="Q64" s="883"/>
      <c r="R64" s="883"/>
      <c r="S64" s="883"/>
      <c r="T64" s="883"/>
      <c r="U64" s="883"/>
      <c r="V64" s="883"/>
      <c r="W64" s="179"/>
      <c r="X64" s="179"/>
    </row>
    <row r="65" spans="2:24">
      <c r="B65" s="179"/>
      <c r="C65" s="179"/>
      <c r="D65" s="179"/>
      <c r="E65" s="883"/>
      <c r="F65" s="179"/>
      <c r="G65" s="883"/>
      <c r="H65" s="179"/>
      <c r="I65" s="883"/>
      <c r="J65" s="883"/>
      <c r="K65" s="883"/>
      <c r="L65" s="883"/>
      <c r="M65" s="883"/>
      <c r="N65" s="883"/>
      <c r="O65" s="883"/>
      <c r="P65" s="883"/>
      <c r="Q65" s="883"/>
      <c r="R65" s="883"/>
      <c r="S65" s="883"/>
      <c r="T65" s="883"/>
      <c r="U65" s="883"/>
      <c r="V65" s="883"/>
      <c r="W65" s="179"/>
      <c r="X65" s="179"/>
    </row>
    <row r="66" spans="2:24">
      <c r="B66" s="179"/>
      <c r="C66" s="179"/>
      <c r="D66" s="179"/>
      <c r="E66" s="883"/>
      <c r="F66" s="179"/>
      <c r="G66" s="883"/>
      <c r="H66" s="179"/>
      <c r="I66" s="883"/>
      <c r="J66" s="883"/>
      <c r="K66" s="883"/>
      <c r="L66" s="883"/>
      <c r="M66" s="883"/>
      <c r="N66" s="883"/>
      <c r="O66" s="883"/>
      <c r="P66" s="883"/>
      <c r="Q66" s="883"/>
      <c r="R66" s="883"/>
      <c r="S66" s="883"/>
      <c r="T66" s="883"/>
      <c r="U66" s="883"/>
      <c r="V66" s="883"/>
      <c r="W66" s="179"/>
      <c r="X66" s="179"/>
    </row>
    <row r="67" spans="2:24">
      <c r="B67" s="179"/>
      <c r="C67" s="179"/>
      <c r="D67" s="179"/>
      <c r="E67" s="883"/>
      <c r="F67" s="179"/>
      <c r="G67" s="883"/>
      <c r="H67" s="179"/>
      <c r="I67" s="883"/>
      <c r="J67" s="883"/>
      <c r="K67" s="883"/>
      <c r="L67" s="883"/>
      <c r="M67" s="883"/>
      <c r="N67" s="883"/>
      <c r="O67" s="883"/>
      <c r="P67" s="883"/>
      <c r="Q67" s="883"/>
      <c r="R67" s="883"/>
      <c r="S67" s="883"/>
      <c r="T67" s="883"/>
      <c r="U67" s="883"/>
      <c r="V67" s="883"/>
      <c r="W67" s="179"/>
      <c r="X67" s="179"/>
    </row>
    <row r="68" spans="2:24">
      <c r="B68" s="179"/>
      <c r="C68" s="179"/>
      <c r="D68" s="179"/>
      <c r="E68" s="883"/>
      <c r="F68" s="179"/>
      <c r="G68" s="883"/>
      <c r="H68" s="179"/>
      <c r="I68" s="883"/>
      <c r="J68" s="883"/>
      <c r="K68" s="883"/>
      <c r="L68" s="883"/>
      <c r="M68" s="883"/>
      <c r="N68" s="883"/>
      <c r="O68" s="883"/>
      <c r="P68" s="883"/>
      <c r="Q68" s="883"/>
      <c r="R68" s="883"/>
      <c r="S68" s="883"/>
      <c r="T68" s="883"/>
      <c r="U68" s="883"/>
      <c r="V68" s="883"/>
      <c r="W68" s="179"/>
      <c r="X68" s="179"/>
    </row>
    <row r="69" spans="2:24">
      <c r="B69" s="179"/>
      <c r="C69" s="179"/>
      <c r="D69" s="179"/>
      <c r="E69" s="883"/>
      <c r="F69" s="179"/>
      <c r="G69" s="883"/>
      <c r="H69" s="179"/>
      <c r="I69" s="883"/>
      <c r="J69" s="883"/>
      <c r="K69" s="883"/>
      <c r="L69" s="883"/>
      <c r="M69" s="883"/>
      <c r="N69" s="883"/>
      <c r="O69" s="883"/>
      <c r="P69" s="883"/>
      <c r="Q69" s="883"/>
      <c r="R69" s="883"/>
      <c r="S69" s="883"/>
      <c r="T69" s="883"/>
      <c r="U69" s="883"/>
      <c r="V69" s="883"/>
      <c r="W69" s="179"/>
      <c r="X69" s="179"/>
    </row>
    <row r="70" spans="2:24">
      <c r="B70" s="179"/>
      <c r="C70" s="179"/>
      <c r="D70" s="179"/>
      <c r="E70" s="883"/>
      <c r="F70" s="179"/>
      <c r="G70" s="883"/>
      <c r="H70" s="179"/>
      <c r="I70" s="883"/>
      <c r="J70" s="883"/>
      <c r="K70" s="883"/>
      <c r="L70" s="883"/>
      <c r="M70" s="883"/>
      <c r="N70" s="883"/>
      <c r="O70" s="883"/>
      <c r="P70" s="883"/>
      <c r="Q70" s="883"/>
      <c r="R70" s="883"/>
      <c r="S70" s="883"/>
      <c r="T70" s="883"/>
      <c r="U70" s="883"/>
      <c r="V70" s="883"/>
      <c r="W70" s="179"/>
      <c r="X70" s="179"/>
    </row>
    <row r="71" spans="2:24">
      <c r="B71" s="179"/>
      <c r="C71" s="179"/>
      <c r="D71" s="179"/>
      <c r="E71" s="883"/>
      <c r="F71" s="179"/>
      <c r="G71" s="883"/>
      <c r="H71" s="179"/>
      <c r="I71" s="883"/>
      <c r="J71" s="883"/>
      <c r="K71" s="883"/>
      <c r="L71" s="883"/>
      <c r="M71" s="883"/>
      <c r="N71" s="883"/>
      <c r="O71" s="883"/>
      <c r="P71" s="883"/>
      <c r="Q71" s="883"/>
      <c r="R71" s="883"/>
      <c r="S71" s="883"/>
      <c r="T71" s="883"/>
      <c r="U71" s="883"/>
      <c r="V71" s="883"/>
      <c r="W71" s="179"/>
      <c r="X71" s="179"/>
    </row>
    <row r="72" spans="2:24">
      <c r="B72" s="179"/>
      <c r="C72" s="179"/>
      <c r="D72" s="179"/>
      <c r="E72" s="883"/>
      <c r="F72" s="179"/>
      <c r="G72" s="883"/>
      <c r="H72" s="179"/>
      <c r="I72" s="883"/>
      <c r="J72" s="883"/>
      <c r="K72" s="883"/>
      <c r="L72" s="883"/>
      <c r="M72" s="883"/>
      <c r="N72" s="883"/>
      <c r="O72" s="883"/>
      <c r="P72" s="883"/>
      <c r="Q72" s="883"/>
      <c r="R72" s="883"/>
      <c r="S72" s="883"/>
      <c r="T72" s="883"/>
      <c r="U72" s="883"/>
      <c r="V72" s="883"/>
      <c r="W72" s="179"/>
      <c r="X72" s="179"/>
    </row>
    <row r="73" spans="2:24">
      <c r="B73" s="179"/>
      <c r="C73" s="179"/>
      <c r="D73" s="179"/>
      <c r="E73" s="883"/>
      <c r="F73" s="179"/>
      <c r="G73" s="883"/>
      <c r="H73" s="179"/>
      <c r="I73" s="883"/>
      <c r="J73" s="883"/>
      <c r="K73" s="883"/>
      <c r="L73" s="883"/>
      <c r="M73" s="883"/>
      <c r="N73" s="883"/>
      <c r="O73" s="883"/>
      <c r="P73" s="883"/>
      <c r="Q73" s="883"/>
      <c r="R73" s="883"/>
      <c r="S73" s="883"/>
      <c r="T73" s="883"/>
      <c r="U73" s="883"/>
      <c r="V73" s="883"/>
      <c r="W73" s="179"/>
      <c r="X73" s="179"/>
    </row>
    <row r="74" spans="2:24">
      <c r="B74" s="179"/>
      <c r="C74" s="179"/>
      <c r="D74" s="179"/>
      <c r="E74" s="883"/>
      <c r="F74" s="179"/>
      <c r="G74" s="883"/>
      <c r="H74" s="179"/>
      <c r="I74" s="883"/>
      <c r="J74" s="883"/>
      <c r="K74" s="883"/>
      <c r="L74" s="883"/>
      <c r="M74" s="883"/>
      <c r="N74" s="883"/>
      <c r="O74" s="883"/>
      <c r="P74" s="883"/>
      <c r="Q74" s="883"/>
      <c r="R74" s="883"/>
      <c r="S74" s="883"/>
      <c r="T74" s="883"/>
      <c r="U74" s="883"/>
      <c r="V74" s="883"/>
      <c r="W74" s="179"/>
      <c r="X74" s="179"/>
    </row>
    <row r="75" spans="2:24">
      <c r="B75" s="179"/>
      <c r="C75" s="179"/>
      <c r="D75" s="179"/>
      <c r="E75" s="883"/>
      <c r="F75" s="179"/>
      <c r="G75" s="883"/>
      <c r="H75" s="179"/>
      <c r="I75" s="883"/>
      <c r="J75" s="883"/>
      <c r="K75" s="883"/>
      <c r="L75" s="883"/>
      <c r="M75" s="883"/>
      <c r="N75" s="883"/>
      <c r="O75" s="883"/>
      <c r="P75" s="883"/>
      <c r="Q75" s="883"/>
      <c r="R75" s="883"/>
      <c r="S75" s="883"/>
      <c r="T75" s="883"/>
      <c r="U75" s="883"/>
      <c r="V75" s="883"/>
      <c r="W75" s="179"/>
      <c r="X75" s="179"/>
    </row>
    <row r="76" spans="2:24">
      <c r="B76" s="179"/>
      <c r="C76" s="179"/>
      <c r="D76" s="179"/>
      <c r="E76" s="883"/>
      <c r="F76" s="179"/>
      <c r="G76" s="883"/>
      <c r="H76" s="179"/>
      <c r="I76" s="883"/>
      <c r="J76" s="883"/>
      <c r="K76" s="883"/>
      <c r="L76" s="883"/>
      <c r="M76" s="883"/>
      <c r="N76" s="883"/>
      <c r="O76" s="883"/>
      <c r="P76" s="883"/>
      <c r="Q76" s="883"/>
      <c r="R76" s="883"/>
      <c r="S76" s="883"/>
      <c r="T76" s="883"/>
      <c r="U76" s="883"/>
      <c r="V76" s="883"/>
      <c r="W76" s="179"/>
      <c r="X76" s="179"/>
    </row>
    <row r="77" spans="2:24">
      <c r="B77" s="179"/>
      <c r="C77" s="179"/>
      <c r="D77" s="179"/>
      <c r="E77" s="883"/>
      <c r="F77" s="179"/>
      <c r="G77" s="883"/>
      <c r="H77" s="179"/>
      <c r="I77" s="883"/>
      <c r="J77" s="883"/>
      <c r="K77" s="883"/>
      <c r="L77" s="883"/>
      <c r="M77" s="883"/>
      <c r="N77" s="883"/>
      <c r="O77" s="883"/>
      <c r="P77" s="883"/>
      <c r="Q77" s="883"/>
      <c r="R77" s="883"/>
      <c r="S77" s="883"/>
      <c r="T77" s="883"/>
      <c r="U77" s="883"/>
      <c r="V77" s="883"/>
      <c r="W77" s="179"/>
      <c r="X77" s="179"/>
    </row>
    <row r="78" spans="2:24">
      <c r="B78" s="179"/>
      <c r="C78" s="179"/>
      <c r="D78" s="179"/>
      <c r="E78" s="883"/>
      <c r="F78" s="179"/>
      <c r="G78" s="883"/>
      <c r="H78" s="179"/>
      <c r="I78" s="883"/>
      <c r="J78" s="883"/>
      <c r="K78" s="883"/>
      <c r="L78" s="883"/>
      <c r="M78" s="883"/>
      <c r="N78" s="883"/>
      <c r="O78" s="883"/>
      <c r="P78" s="883"/>
      <c r="Q78" s="883"/>
      <c r="R78" s="883"/>
      <c r="S78" s="883"/>
      <c r="T78" s="883"/>
      <c r="U78" s="883"/>
      <c r="V78" s="883"/>
      <c r="W78" s="179"/>
      <c r="X78" s="179"/>
    </row>
    <row r="79" spans="2:24">
      <c r="B79" s="179"/>
      <c r="C79" s="179"/>
      <c r="D79" s="179"/>
      <c r="E79" s="883"/>
      <c r="F79" s="179"/>
      <c r="G79" s="883"/>
      <c r="H79" s="179"/>
      <c r="I79" s="883"/>
      <c r="J79" s="883"/>
      <c r="K79" s="883"/>
      <c r="L79" s="883"/>
      <c r="M79" s="883"/>
      <c r="N79" s="883"/>
      <c r="O79" s="883"/>
      <c r="P79" s="883"/>
      <c r="Q79" s="883"/>
      <c r="R79" s="883"/>
      <c r="S79" s="883"/>
      <c r="T79" s="883"/>
      <c r="U79" s="883"/>
      <c r="V79" s="883"/>
      <c r="W79" s="179"/>
      <c r="X79" s="179"/>
    </row>
    <row r="80" spans="2:24">
      <c r="B80" s="179"/>
      <c r="C80" s="179"/>
      <c r="D80" s="179"/>
      <c r="E80" s="883"/>
      <c r="F80" s="179"/>
      <c r="G80" s="883"/>
      <c r="H80" s="179"/>
      <c r="I80" s="883"/>
      <c r="J80" s="883"/>
      <c r="K80" s="883"/>
      <c r="L80" s="883"/>
      <c r="M80" s="883"/>
      <c r="N80" s="883"/>
      <c r="O80" s="883"/>
      <c r="P80" s="883"/>
      <c r="Q80" s="883"/>
      <c r="R80" s="883"/>
      <c r="S80" s="883"/>
      <c r="T80" s="883"/>
      <c r="U80" s="883"/>
      <c r="V80" s="883"/>
      <c r="W80" s="179"/>
      <c r="X80" s="179"/>
    </row>
    <row r="81" spans="2:24">
      <c r="B81" s="179"/>
      <c r="C81" s="179"/>
      <c r="D81" s="179"/>
      <c r="E81" s="883"/>
      <c r="F81" s="179"/>
      <c r="G81" s="883"/>
      <c r="H81" s="179"/>
      <c r="I81" s="883"/>
      <c r="J81" s="883"/>
      <c r="K81" s="883"/>
      <c r="L81" s="883"/>
      <c r="M81" s="883"/>
      <c r="N81" s="883"/>
      <c r="O81" s="883"/>
      <c r="P81" s="883"/>
      <c r="Q81" s="883"/>
      <c r="R81" s="883"/>
      <c r="S81" s="883"/>
      <c r="T81" s="883"/>
      <c r="U81" s="883"/>
      <c r="V81" s="883"/>
      <c r="W81" s="179"/>
      <c r="X81" s="179"/>
    </row>
    <row r="82" spans="2:24">
      <c r="B82" s="179"/>
      <c r="C82" s="179"/>
      <c r="D82" s="179"/>
      <c r="E82" s="883"/>
      <c r="F82" s="179"/>
      <c r="G82" s="883"/>
      <c r="H82" s="179"/>
      <c r="I82" s="883"/>
      <c r="J82" s="883"/>
      <c r="K82" s="883"/>
      <c r="L82" s="883"/>
      <c r="M82" s="883"/>
      <c r="N82" s="883"/>
      <c r="O82" s="883"/>
      <c r="P82" s="883"/>
      <c r="Q82" s="883"/>
      <c r="R82" s="883"/>
      <c r="S82" s="883"/>
      <c r="T82" s="883"/>
      <c r="U82" s="883"/>
      <c r="V82" s="883"/>
      <c r="W82" s="179"/>
      <c r="X82" s="179"/>
    </row>
    <row r="83" spans="2:24">
      <c r="B83" s="179"/>
      <c r="C83" s="179"/>
      <c r="D83" s="179"/>
      <c r="E83" s="883"/>
      <c r="F83" s="179"/>
      <c r="G83" s="883"/>
      <c r="H83" s="179"/>
      <c r="I83" s="883"/>
      <c r="J83" s="883"/>
      <c r="K83" s="883"/>
      <c r="L83" s="883"/>
      <c r="M83" s="883"/>
      <c r="N83" s="883"/>
      <c r="O83" s="883"/>
      <c r="P83" s="883"/>
      <c r="Q83" s="883"/>
      <c r="R83" s="883"/>
      <c r="S83" s="883"/>
      <c r="T83" s="883"/>
      <c r="U83" s="883"/>
      <c r="V83" s="883"/>
      <c r="W83" s="179"/>
      <c r="X83" s="179"/>
    </row>
    <row r="84" spans="2:24">
      <c r="B84" s="179"/>
      <c r="C84" s="179"/>
      <c r="D84" s="179"/>
      <c r="E84" s="883"/>
      <c r="F84" s="179"/>
      <c r="G84" s="883"/>
      <c r="H84" s="179"/>
      <c r="I84" s="883"/>
      <c r="J84" s="883"/>
      <c r="K84" s="883"/>
      <c r="L84" s="883"/>
      <c r="M84" s="883"/>
      <c r="N84" s="883"/>
      <c r="O84" s="883"/>
      <c r="P84" s="883"/>
      <c r="Q84" s="883"/>
      <c r="R84" s="883"/>
      <c r="S84" s="883"/>
      <c r="T84" s="883"/>
      <c r="U84" s="883"/>
      <c r="V84" s="883"/>
      <c r="W84" s="179"/>
      <c r="X84" s="179"/>
    </row>
    <row r="85" spans="2:24">
      <c r="B85" s="179"/>
      <c r="C85" s="179"/>
      <c r="D85" s="179"/>
      <c r="E85" s="883"/>
      <c r="F85" s="179"/>
      <c r="G85" s="883"/>
      <c r="H85" s="179"/>
      <c r="I85" s="883"/>
      <c r="J85" s="883"/>
      <c r="K85" s="883"/>
      <c r="L85" s="883"/>
      <c r="M85" s="883"/>
      <c r="N85" s="883"/>
      <c r="O85" s="883"/>
      <c r="P85" s="883"/>
      <c r="Q85" s="883"/>
      <c r="R85" s="883"/>
      <c r="S85" s="883"/>
      <c r="T85" s="883"/>
      <c r="U85" s="883"/>
      <c r="V85" s="883"/>
      <c r="W85" s="179"/>
      <c r="X85" s="179"/>
    </row>
    <row r="86" spans="2:24">
      <c r="B86" s="179"/>
      <c r="C86" s="179"/>
      <c r="D86" s="179"/>
      <c r="E86" s="883"/>
      <c r="F86" s="179"/>
      <c r="G86" s="883"/>
      <c r="H86" s="179"/>
      <c r="I86" s="883"/>
      <c r="J86" s="883"/>
      <c r="K86" s="883"/>
      <c r="L86" s="883"/>
      <c r="M86" s="883"/>
      <c r="N86" s="883"/>
      <c r="O86" s="883"/>
      <c r="P86" s="883"/>
      <c r="Q86" s="883"/>
      <c r="R86" s="883"/>
      <c r="S86" s="883"/>
      <c r="T86" s="883"/>
      <c r="U86" s="883"/>
      <c r="V86" s="883"/>
      <c r="W86" s="179"/>
      <c r="X86" s="179"/>
    </row>
    <row r="87" spans="2:24">
      <c r="B87" s="179"/>
      <c r="C87" s="179"/>
      <c r="D87" s="179"/>
      <c r="E87" s="883"/>
      <c r="F87" s="179"/>
      <c r="G87" s="883"/>
      <c r="H87" s="179"/>
      <c r="I87" s="883"/>
      <c r="J87" s="883"/>
      <c r="K87" s="883"/>
      <c r="L87" s="883"/>
      <c r="M87" s="883"/>
      <c r="N87" s="883"/>
      <c r="O87" s="883"/>
      <c r="P87" s="883"/>
      <c r="Q87" s="883"/>
      <c r="R87" s="883"/>
      <c r="S87" s="883"/>
      <c r="T87" s="883"/>
      <c r="U87" s="883"/>
      <c r="V87" s="883"/>
      <c r="W87" s="179"/>
      <c r="X87" s="179"/>
    </row>
    <row r="88" spans="2:24">
      <c r="B88" s="179"/>
      <c r="C88" s="179"/>
      <c r="D88" s="179"/>
      <c r="E88" s="883"/>
      <c r="F88" s="179"/>
      <c r="G88" s="883"/>
      <c r="H88" s="179"/>
      <c r="I88" s="883"/>
      <c r="J88" s="883"/>
      <c r="K88" s="883"/>
      <c r="L88" s="883"/>
      <c r="M88" s="883"/>
      <c r="N88" s="883"/>
      <c r="O88" s="883"/>
      <c r="P88" s="883"/>
      <c r="Q88" s="883"/>
      <c r="R88" s="883"/>
      <c r="S88" s="883"/>
      <c r="T88" s="883"/>
      <c r="U88" s="883"/>
      <c r="V88" s="883"/>
      <c r="W88" s="179"/>
      <c r="X88" s="179"/>
    </row>
    <row r="89" spans="2:24">
      <c r="B89" s="179"/>
      <c r="C89" s="179"/>
      <c r="D89" s="179"/>
      <c r="E89" s="883"/>
      <c r="F89" s="179"/>
      <c r="G89" s="883"/>
      <c r="H89" s="179"/>
      <c r="I89" s="883"/>
      <c r="J89" s="883"/>
      <c r="K89" s="883"/>
      <c r="L89" s="883"/>
      <c r="M89" s="883"/>
      <c r="N89" s="883"/>
      <c r="O89" s="883"/>
      <c r="P89" s="883"/>
      <c r="Q89" s="883"/>
      <c r="R89" s="883"/>
      <c r="S89" s="883"/>
      <c r="T89" s="883"/>
      <c r="U89" s="883"/>
      <c r="V89" s="883"/>
      <c r="W89" s="179"/>
      <c r="X89" s="179"/>
    </row>
    <row r="90" spans="2:24">
      <c r="B90" s="179"/>
      <c r="C90" s="179"/>
      <c r="D90" s="179"/>
      <c r="E90" s="883"/>
      <c r="F90" s="179"/>
      <c r="G90" s="883"/>
      <c r="H90" s="179"/>
      <c r="I90" s="883"/>
      <c r="J90" s="883"/>
      <c r="K90" s="883"/>
      <c r="L90" s="883"/>
      <c r="M90" s="883"/>
      <c r="N90" s="883"/>
      <c r="O90" s="883"/>
      <c r="P90" s="883"/>
      <c r="Q90" s="883"/>
      <c r="R90" s="883"/>
      <c r="S90" s="883"/>
      <c r="T90" s="883"/>
      <c r="U90" s="883"/>
      <c r="V90" s="883"/>
      <c r="W90" s="179"/>
      <c r="X90" s="179"/>
    </row>
    <row r="91" spans="2:24">
      <c r="B91" s="179"/>
      <c r="C91" s="179"/>
      <c r="D91" s="179"/>
      <c r="E91" s="883"/>
      <c r="F91" s="179"/>
      <c r="G91" s="883"/>
      <c r="H91" s="179"/>
      <c r="I91" s="883"/>
      <c r="J91" s="883"/>
      <c r="K91" s="883"/>
      <c r="L91" s="883"/>
      <c r="M91" s="883"/>
      <c r="N91" s="883"/>
      <c r="O91" s="883"/>
      <c r="P91" s="883"/>
      <c r="Q91" s="883"/>
      <c r="R91" s="883"/>
      <c r="S91" s="883"/>
      <c r="T91" s="883"/>
      <c r="U91" s="883"/>
      <c r="V91" s="883"/>
      <c r="W91" s="179"/>
      <c r="X91" s="179"/>
    </row>
    <row r="92" spans="2:24">
      <c r="B92" s="179"/>
      <c r="C92" s="179"/>
      <c r="D92" s="179"/>
      <c r="E92" s="883"/>
      <c r="F92" s="179"/>
      <c r="G92" s="883"/>
      <c r="H92" s="179"/>
      <c r="I92" s="883"/>
      <c r="J92" s="883"/>
      <c r="K92" s="883"/>
      <c r="L92" s="883"/>
      <c r="M92" s="883"/>
      <c r="N92" s="883"/>
      <c r="O92" s="883"/>
      <c r="P92" s="883"/>
      <c r="Q92" s="883"/>
      <c r="R92" s="883"/>
      <c r="S92" s="883"/>
      <c r="T92" s="883"/>
      <c r="U92" s="883"/>
      <c r="V92" s="883"/>
      <c r="W92" s="179"/>
      <c r="X92" s="179"/>
    </row>
    <row r="93" spans="2:24">
      <c r="B93" s="179"/>
      <c r="C93" s="179"/>
      <c r="D93" s="179"/>
      <c r="E93" s="883"/>
      <c r="F93" s="179"/>
      <c r="G93" s="883"/>
      <c r="H93" s="179"/>
      <c r="I93" s="883"/>
      <c r="J93" s="883"/>
      <c r="K93" s="883"/>
      <c r="L93" s="883"/>
      <c r="M93" s="883"/>
      <c r="N93" s="883"/>
      <c r="O93" s="883"/>
      <c r="P93" s="883"/>
      <c r="Q93" s="883"/>
      <c r="R93" s="883"/>
      <c r="S93" s="883"/>
      <c r="T93" s="883"/>
      <c r="U93" s="883"/>
      <c r="V93" s="883"/>
      <c r="W93" s="179"/>
      <c r="X93" s="179"/>
    </row>
    <row r="94" spans="2:24">
      <c r="B94" s="179"/>
      <c r="C94" s="179"/>
      <c r="D94" s="179"/>
      <c r="E94" s="883"/>
      <c r="F94" s="179"/>
      <c r="G94" s="883"/>
      <c r="H94" s="179"/>
      <c r="I94" s="883"/>
      <c r="J94" s="883"/>
      <c r="K94" s="883"/>
      <c r="L94" s="883"/>
      <c r="M94" s="883"/>
      <c r="N94" s="883"/>
      <c r="O94" s="883"/>
      <c r="P94" s="883"/>
      <c r="Q94" s="883"/>
      <c r="R94" s="883"/>
      <c r="S94" s="883"/>
      <c r="T94" s="883"/>
      <c r="U94" s="883"/>
      <c r="V94" s="883"/>
      <c r="W94" s="179"/>
      <c r="X94" s="179"/>
    </row>
    <row r="95" spans="2:24">
      <c r="B95" s="179"/>
      <c r="C95" s="179"/>
      <c r="D95" s="179"/>
      <c r="E95" s="883"/>
      <c r="F95" s="179"/>
      <c r="G95" s="883"/>
      <c r="H95" s="179"/>
      <c r="I95" s="883"/>
      <c r="J95" s="883"/>
      <c r="K95" s="883"/>
      <c r="L95" s="883"/>
      <c r="M95" s="883"/>
      <c r="N95" s="883"/>
      <c r="O95" s="883"/>
      <c r="P95" s="883"/>
      <c r="Q95" s="883"/>
      <c r="R95" s="883"/>
      <c r="S95" s="883"/>
      <c r="T95" s="883"/>
      <c r="U95" s="883"/>
      <c r="V95" s="883"/>
      <c r="W95" s="179"/>
      <c r="X95" s="179"/>
    </row>
    <row r="96" spans="2:24">
      <c r="B96" s="179"/>
      <c r="C96" s="179"/>
      <c r="D96" s="179"/>
      <c r="E96" s="883"/>
      <c r="F96" s="179"/>
      <c r="G96" s="883"/>
      <c r="H96" s="179"/>
      <c r="I96" s="883"/>
      <c r="J96" s="883"/>
      <c r="K96" s="883"/>
      <c r="L96" s="883"/>
      <c r="M96" s="883"/>
      <c r="N96" s="883"/>
      <c r="O96" s="883"/>
      <c r="P96" s="883"/>
      <c r="Q96" s="883"/>
      <c r="R96" s="883"/>
      <c r="S96" s="883"/>
      <c r="T96" s="883"/>
      <c r="U96" s="883"/>
      <c r="V96" s="883"/>
      <c r="W96" s="179"/>
      <c r="X96" s="179"/>
    </row>
    <row r="97" spans="2:24">
      <c r="B97" s="179"/>
      <c r="C97" s="179"/>
      <c r="D97" s="179"/>
      <c r="E97" s="883"/>
      <c r="F97" s="179"/>
      <c r="G97" s="883"/>
      <c r="H97" s="179"/>
      <c r="I97" s="883"/>
      <c r="J97" s="883"/>
      <c r="K97" s="883"/>
      <c r="L97" s="883"/>
      <c r="M97" s="883"/>
      <c r="N97" s="883"/>
      <c r="O97" s="883"/>
      <c r="P97" s="883"/>
      <c r="Q97" s="883"/>
      <c r="R97" s="883"/>
      <c r="S97" s="883"/>
      <c r="T97" s="883"/>
      <c r="U97" s="883"/>
      <c r="V97" s="883"/>
      <c r="W97" s="179"/>
      <c r="X97" s="179"/>
    </row>
    <row r="98" spans="2:24">
      <c r="B98" s="179"/>
      <c r="C98" s="179"/>
      <c r="D98" s="179"/>
      <c r="E98" s="883"/>
      <c r="F98" s="179"/>
      <c r="G98" s="883"/>
      <c r="H98" s="179"/>
      <c r="I98" s="883"/>
      <c r="J98" s="883"/>
      <c r="K98" s="883"/>
      <c r="L98" s="883"/>
      <c r="M98" s="883"/>
      <c r="N98" s="883"/>
      <c r="O98" s="883"/>
      <c r="P98" s="883"/>
      <c r="Q98" s="883"/>
      <c r="R98" s="883"/>
      <c r="S98" s="883"/>
      <c r="T98" s="883"/>
      <c r="U98" s="883"/>
      <c r="V98" s="883"/>
      <c r="W98" s="179"/>
      <c r="X98" s="179"/>
    </row>
    <row r="99" spans="2:24">
      <c r="B99" s="179"/>
      <c r="C99" s="179"/>
      <c r="D99" s="179"/>
      <c r="E99" s="883"/>
      <c r="F99" s="179"/>
      <c r="G99" s="883"/>
      <c r="H99" s="179"/>
      <c r="I99" s="883"/>
      <c r="J99" s="883"/>
      <c r="K99" s="883"/>
      <c r="L99" s="883"/>
      <c r="M99" s="883"/>
      <c r="N99" s="883"/>
      <c r="O99" s="883"/>
      <c r="P99" s="883"/>
      <c r="Q99" s="883"/>
      <c r="R99" s="883"/>
      <c r="S99" s="883"/>
      <c r="T99" s="883"/>
      <c r="U99" s="883"/>
      <c r="V99" s="883"/>
      <c r="W99" s="179"/>
      <c r="X99" s="179"/>
    </row>
    <row r="100" spans="2:24">
      <c r="B100" s="179"/>
      <c r="C100" s="179"/>
      <c r="D100" s="179"/>
      <c r="E100" s="883"/>
      <c r="F100" s="179"/>
      <c r="G100" s="883"/>
      <c r="H100" s="179"/>
      <c r="I100" s="883"/>
      <c r="J100" s="883"/>
      <c r="K100" s="883"/>
      <c r="L100" s="883"/>
      <c r="M100" s="883"/>
      <c r="N100" s="883"/>
      <c r="O100" s="883"/>
      <c r="P100" s="883"/>
      <c r="Q100" s="883"/>
      <c r="R100" s="883"/>
      <c r="S100" s="883"/>
      <c r="T100" s="883"/>
      <c r="U100" s="883"/>
      <c r="V100" s="883"/>
      <c r="W100" s="179"/>
      <c r="X100" s="179"/>
    </row>
    <row r="101" spans="2:24">
      <c r="B101" s="179"/>
      <c r="C101" s="179"/>
      <c r="D101" s="179"/>
      <c r="E101" s="883"/>
      <c r="F101" s="179"/>
      <c r="G101" s="883"/>
      <c r="H101" s="179"/>
      <c r="I101" s="883"/>
      <c r="J101" s="883"/>
      <c r="K101" s="883"/>
      <c r="L101" s="883"/>
      <c r="M101" s="883"/>
      <c r="N101" s="883"/>
      <c r="O101" s="883"/>
      <c r="P101" s="883"/>
      <c r="Q101" s="883"/>
      <c r="R101" s="883"/>
      <c r="S101" s="883"/>
      <c r="T101" s="883"/>
      <c r="U101" s="883"/>
      <c r="V101" s="883"/>
      <c r="W101" s="179"/>
      <c r="X101" s="179"/>
    </row>
    <row r="102" spans="2:24">
      <c r="B102" s="179"/>
      <c r="C102" s="179"/>
      <c r="D102" s="179"/>
      <c r="E102" s="883"/>
      <c r="F102" s="179"/>
      <c r="G102" s="883"/>
      <c r="H102" s="179"/>
      <c r="I102" s="883"/>
      <c r="J102" s="883"/>
      <c r="K102" s="883"/>
      <c r="L102" s="883"/>
      <c r="M102" s="883"/>
      <c r="N102" s="883"/>
      <c r="O102" s="883"/>
      <c r="P102" s="883"/>
      <c r="Q102" s="883"/>
      <c r="R102" s="883"/>
      <c r="S102" s="883"/>
      <c r="T102" s="883"/>
      <c r="U102" s="883"/>
      <c r="V102" s="883"/>
      <c r="W102" s="179"/>
      <c r="X102" s="179"/>
    </row>
    <row r="103" spans="2:24">
      <c r="B103" s="179"/>
      <c r="C103" s="179"/>
      <c r="D103" s="179"/>
      <c r="E103" s="883"/>
      <c r="F103" s="179"/>
      <c r="G103" s="883"/>
      <c r="H103" s="179"/>
      <c r="I103" s="883"/>
      <c r="J103" s="883"/>
      <c r="K103" s="883"/>
      <c r="L103" s="883"/>
      <c r="M103" s="883"/>
      <c r="N103" s="883"/>
      <c r="O103" s="883"/>
      <c r="P103" s="883"/>
      <c r="Q103" s="883"/>
      <c r="R103" s="883"/>
      <c r="S103" s="883"/>
      <c r="T103" s="883"/>
      <c r="U103" s="883"/>
      <c r="V103" s="883"/>
      <c r="W103" s="179"/>
      <c r="X103" s="179"/>
    </row>
    <row r="104" spans="2:24">
      <c r="B104" s="179"/>
      <c r="C104" s="179"/>
      <c r="D104" s="179"/>
      <c r="E104" s="883"/>
      <c r="F104" s="179"/>
      <c r="G104" s="883"/>
      <c r="H104" s="179"/>
      <c r="I104" s="883"/>
      <c r="J104" s="883"/>
      <c r="K104" s="883"/>
      <c r="L104" s="883"/>
      <c r="M104" s="883"/>
      <c r="N104" s="883"/>
      <c r="O104" s="883"/>
      <c r="P104" s="883"/>
      <c r="Q104" s="883"/>
      <c r="R104" s="883"/>
      <c r="S104" s="883"/>
      <c r="T104" s="883"/>
      <c r="U104" s="883"/>
      <c r="V104" s="883"/>
      <c r="W104" s="179"/>
      <c r="X104" s="179"/>
    </row>
    <row r="105" spans="2:24">
      <c r="B105" s="179"/>
      <c r="C105" s="179"/>
      <c r="D105" s="179"/>
      <c r="E105" s="883"/>
      <c r="F105" s="179"/>
      <c r="G105" s="883"/>
      <c r="H105" s="179"/>
      <c r="I105" s="883"/>
      <c r="J105" s="883"/>
      <c r="K105" s="883"/>
      <c r="L105" s="883"/>
      <c r="M105" s="883"/>
      <c r="N105" s="883"/>
      <c r="O105" s="883"/>
      <c r="P105" s="883"/>
      <c r="Q105" s="883"/>
      <c r="R105" s="883"/>
      <c r="S105" s="883"/>
      <c r="T105" s="883"/>
      <c r="U105" s="883"/>
      <c r="V105" s="883"/>
      <c r="W105" s="179"/>
      <c r="X105" s="179"/>
    </row>
    <row r="106" spans="2:24">
      <c r="B106" s="179"/>
      <c r="C106" s="179"/>
      <c r="D106" s="179"/>
      <c r="E106" s="883"/>
      <c r="F106" s="179"/>
      <c r="G106" s="883"/>
      <c r="H106" s="179"/>
      <c r="I106" s="883"/>
      <c r="J106" s="883"/>
      <c r="K106" s="883"/>
      <c r="L106" s="883"/>
      <c r="M106" s="883"/>
      <c r="N106" s="883"/>
      <c r="O106" s="883"/>
      <c r="P106" s="883"/>
      <c r="Q106" s="883"/>
      <c r="R106" s="883"/>
      <c r="S106" s="883"/>
      <c r="T106" s="883"/>
      <c r="U106" s="883"/>
      <c r="V106" s="883"/>
      <c r="W106" s="179"/>
      <c r="X106" s="179"/>
    </row>
    <row r="107" spans="2:24">
      <c r="B107" s="179"/>
      <c r="C107" s="179"/>
      <c r="D107" s="179"/>
      <c r="E107" s="883"/>
      <c r="F107" s="179"/>
      <c r="G107" s="883"/>
      <c r="H107" s="179"/>
      <c r="I107" s="883"/>
      <c r="J107" s="883"/>
      <c r="K107" s="883"/>
      <c r="L107" s="883"/>
      <c r="M107" s="883"/>
      <c r="N107" s="883"/>
      <c r="O107" s="883"/>
      <c r="P107" s="883"/>
      <c r="Q107" s="883"/>
      <c r="R107" s="883"/>
      <c r="S107" s="883"/>
      <c r="T107" s="883"/>
      <c r="U107" s="883"/>
      <c r="V107" s="883"/>
      <c r="W107" s="179"/>
      <c r="X107" s="179"/>
    </row>
    <row r="108" spans="2:24">
      <c r="B108" s="179"/>
      <c r="C108" s="179"/>
      <c r="D108" s="179"/>
      <c r="E108" s="883"/>
      <c r="F108" s="179"/>
      <c r="G108" s="883"/>
      <c r="H108" s="179"/>
      <c r="I108" s="883"/>
      <c r="J108" s="883"/>
      <c r="K108" s="883"/>
      <c r="L108" s="883"/>
      <c r="M108" s="883"/>
      <c r="N108" s="883"/>
      <c r="O108" s="883"/>
      <c r="P108" s="883"/>
      <c r="Q108" s="883"/>
      <c r="R108" s="883"/>
      <c r="S108" s="883"/>
      <c r="T108" s="883"/>
      <c r="U108" s="883"/>
      <c r="V108" s="883"/>
      <c r="W108" s="179"/>
      <c r="X108" s="179"/>
    </row>
    <row r="109" spans="2:24">
      <c r="B109" s="179"/>
      <c r="C109" s="179"/>
      <c r="D109" s="179"/>
      <c r="E109" s="883"/>
      <c r="F109" s="179"/>
      <c r="G109" s="883"/>
      <c r="H109" s="179"/>
      <c r="I109" s="883"/>
      <c r="J109" s="883"/>
      <c r="K109" s="883"/>
      <c r="L109" s="883"/>
      <c r="M109" s="883"/>
      <c r="N109" s="883"/>
      <c r="O109" s="883"/>
      <c r="P109" s="883"/>
      <c r="Q109" s="883"/>
      <c r="R109" s="883"/>
      <c r="S109" s="883"/>
      <c r="T109" s="883"/>
      <c r="U109" s="883"/>
      <c r="V109" s="883"/>
      <c r="W109" s="179"/>
      <c r="X109" s="179"/>
    </row>
    <row r="110" spans="2:24">
      <c r="B110" s="179"/>
      <c r="C110" s="179"/>
      <c r="D110" s="179"/>
      <c r="E110" s="883"/>
      <c r="F110" s="179"/>
      <c r="G110" s="883"/>
      <c r="H110" s="179"/>
      <c r="I110" s="883"/>
      <c r="J110" s="883"/>
      <c r="K110" s="883"/>
      <c r="L110" s="883"/>
      <c r="M110" s="883"/>
      <c r="N110" s="883"/>
      <c r="O110" s="883"/>
      <c r="P110" s="883"/>
      <c r="Q110" s="883"/>
      <c r="R110" s="883"/>
      <c r="S110" s="883"/>
      <c r="T110" s="883"/>
      <c r="U110" s="883"/>
      <c r="V110" s="883"/>
      <c r="W110" s="179"/>
      <c r="X110" s="179"/>
    </row>
    <row r="111" spans="2:24">
      <c r="B111" s="179"/>
      <c r="C111" s="179"/>
      <c r="D111" s="179"/>
      <c r="E111" s="883"/>
      <c r="F111" s="179"/>
      <c r="G111" s="883"/>
      <c r="H111" s="179"/>
      <c r="I111" s="883"/>
      <c r="J111" s="883"/>
      <c r="K111" s="883"/>
      <c r="L111" s="883"/>
      <c r="M111" s="883"/>
      <c r="N111" s="883"/>
      <c r="O111" s="883"/>
      <c r="P111" s="883"/>
      <c r="Q111" s="883"/>
      <c r="R111" s="883"/>
      <c r="S111" s="883"/>
      <c r="T111" s="883"/>
      <c r="U111" s="883"/>
      <c r="V111" s="883"/>
      <c r="W111" s="179"/>
      <c r="X111" s="179"/>
    </row>
    <row r="112" spans="2:24">
      <c r="B112" s="179"/>
      <c r="C112" s="179"/>
      <c r="D112" s="179"/>
      <c r="E112" s="883"/>
      <c r="F112" s="179"/>
      <c r="G112" s="883"/>
      <c r="H112" s="179"/>
      <c r="I112" s="883"/>
      <c r="J112" s="883"/>
      <c r="K112" s="883"/>
      <c r="L112" s="883"/>
      <c r="M112" s="883"/>
      <c r="N112" s="883"/>
      <c r="O112" s="883"/>
      <c r="P112" s="883"/>
      <c r="Q112" s="883"/>
      <c r="R112" s="883"/>
      <c r="S112" s="883"/>
      <c r="T112" s="883"/>
      <c r="U112" s="883"/>
      <c r="V112" s="883"/>
      <c r="W112" s="179"/>
      <c r="X112" s="179"/>
    </row>
    <row r="113" spans="2:24">
      <c r="B113" s="179"/>
      <c r="C113" s="179"/>
      <c r="D113" s="179"/>
      <c r="E113" s="883"/>
      <c r="F113" s="179"/>
      <c r="G113" s="883"/>
      <c r="H113" s="179"/>
      <c r="I113" s="883"/>
      <c r="J113" s="883"/>
      <c r="K113" s="883"/>
      <c r="L113" s="883"/>
      <c r="M113" s="883"/>
      <c r="N113" s="883"/>
      <c r="O113" s="883"/>
      <c r="P113" s="883"/>
      <c r="Q113" s="883"/>
      <c r="R113" s="883"/>
      <c r="S113" s="883"/>
      <c r="T113" s="883"/>
      <c r="U113" s="883"/>
      <c r="V113" s="883"/>
      <c r="W113" s="179"/>
      <c r="X113" s="179"/>
    </row>
    <row r="114" spans="2:24">
      <c r="B114" s="179"/>
      <c r="C114" s="179"/>
      <c r="D114" s="179"/>
      <c r="E114" s="883"/>
      <c r="F114" s="179"/>
      <c r="G114" s="883"/>
      <c r="H114" s="179"/>
      <c r="I114" s="883"/>
      <c r="J114" s="883"/>
      <c r="K114" s="883"/>
      <c r="L114" s="883"/>
      <c r="M114" s="883"/>
      <c r="N114" s="883"/>
      <c r="O114" s="883"/>
      <c r="P114" s="883"/>
      <c r="Q114" s="883"/>
      <c r="R114" s="883"/>
      <c r="S114" s="883"/>
      <c r="T114" s="883"/>
      <c r="U114" s="883"/>
      <c r="V114" s="883"/>
      <c r="W114" s="179"/>
      <c r="X114" s="179"/>
    </row>
    <row r="115" spans="2:24">
      <c r="B115" s="179"/>
      <c r="C115" s="179"/>
      <c r="D115" s="179"/>
      <c r="E115" s="883"/>
      <c r="F115" s="179"/>
      <c r="G115" s="883"/>
      <c r="H115" s="179"/>
      <c r="I115" s="883"/>
      <c r="J115" s="883"/>
      <c r="K115" s="883"/>
      <c r="L115" s="883"/>
      <c r="M115" s="883"/>
      <c r="N115" s="883"/>
      <c r="O115" s="883"/>
      <c r="P115" s="883"/>
      <c r="Q115" s="883"/>
      <c r="R115" s="883"/>
      <c r="S115" s="883"/>
      <c r="T115" s="883"/>
      <c r="U115" s="883"/>
      <c r="V115" s="883"/>
      <c r="W115" s="179"/>
      <c r="X115" s="179"/>
    </row>
    <row r="116" spans="2:24">
      <c r="B116" s="179"/>
      <c r="C116" s="179"/>
      <c r="D116" s="179"/>
      <c r="E116" s="883"/>
      <c r="F116" s="179"/>
      <c r="G116" s="883"/>
      <c r="H116" s="179"/>
      <c r="I116" s="883"/>
      <c r="J116" s="883"/>
      <c r="K116" s="883"/>
      <c r="L116" s="883"/>
      <c r="M116" s="883"/>
      <c r="N116" s="883"/>
      <c r="O116" s="883"/>
      <c r="P116" s="883"/>
      <c r="Q116" s="883"/>
      <c r="R116" s="883"/>
      <c r="S116" s="883"/>
      <c r="T116" s="883"/>
      <c r="U116" s="883"/>
      <c r="V116" s="883"/>
      <c r="W116" s="179"/>
      <c r="X116" s="179"/>
    </row>
    <row r="117" spans="2:24">
      <c r="B117" s="179"/>
      <c r="C117" s="179"/>
      <c r="D117" s="179"/>
      <c r="E117" s="883"/>
      <c r="F117" s="179"/>
      <c r="G117" s="883"/>
      <c r="H117" s="179"/>
      <c r="I117" s="883"/>
      <c r="J117" s="883"/>
      <c r="K117" s="883"/>
      <c r="L117" s="883"/>
      <c r="M117" s="883"/>
      <c r="N117" s="883"/>
      <c r="O117" s="883"/>
      <c r="P117" s="883"/>
      <c r="Q117" s="883"/>
      <c r="R117" s="883"/>
      <c r="S117" s="883"/>
      <c r="T117" s="883"/>
      <c r="U117" s="883"/>
      <c r="V117" s="883"/>
      <c r="W117" s="179"/>
      <c r="X117" s="179"/>
    </row>
    <row r="118" spans="2:24">
      <c r="B118" s="179"/>
      <c r="C118" s="179"/>
      <c r="D118" s="179"/>
      <c r="E118" s="883"/>
      <c r="F118" s="179"/>
      <c r="G118" s="883"/>
      <c r="H118" s="179"/>
      <c r="I118" s="883"/>
      <c r="J118" s="883"/>
      <c r="K118" s="883"/>
      <c r="L118" s="883"/>
      <c r="M118" s="883"/>
      <c r="N118" s="883"/>
      <c r="O118" s="883"/>
      <c r="P118" s="883"/>
      <c r="Q118" s="883"/>
      <c r="R118" s="883"/>
      <c r="S118" s="883"/>
      <c r="T118" s="883"/>
      <c r="U118" s="883"/>
      <c r="V118" s="883"/>
      <c r="W118" s="179"/>
      <c r="X118" s="179"/>
    </row>
    <row r="119" spans="2:24">
      <c r="X119" s="874"/>
    </row>
    <row r="120" spans="2:24">
      <c r="X120" s="874"/>
    </row>
    <row r="121" spans="2:24">
      <c r="X121" s="874"/>
    </row>
    <row r="122" spans="2:24">
      <c r="X122" s="874"/>
    </row>
    <row r="123" spans="2:24">
      <c r="X123" s="874"/>
    </row>
    <row r="124" spans="2:24">
      <c r="X124" s="874"/>
    </row>
    <row r="125" spans="2:24">
      <c r="X125" s="874"/>
    </row>
    <row r="126" spans="2:24">
      <c r="X126" s="874"/>
    </row>
    <row r="127" spans="2:24">
      <c r="X127" s="874"/>
    </row>
    <row r="128" spans="2:24">
      <c r="X128" s="874"/>
    </row>
    <row r="129" spans="24:24">
      <c r="X129" s="874"/>
    </row>
    <row r="130" spans="24:24">
      <c r="X130" s="874"/>
    </row>
    <row r="131" spans="24:24">
      <c r="X131" s="874"/>
    </row>
    <row r="132" spans="24:24">
      <c r="X132" s="874"/>
    </row>
    <row r="133" spans="24:24">
      <c r="X133" s="874"/>
    </row>
    <row r="134" spans="24:24">
      <c r="X134" s="874"/>
    </row>
    <row r="135" spans="24:24">
      <c r="X135" s="874"/>
    </row>
    <row r="136" spans="24:24">
      <c r="X136" s="874"/>
    </row>
    <row r="137" spans="24:24">
      <c r="X137" s="874"/>
    </row>
    <row r="138" spans="24:24">
      <c r="X138" s="874"/>
    </row>
    <row r="139" spans="24:24">
      <c r="X139" s="874"/>
    </row>
    <row r="140" spans="24:24">
      <c r="X140" s="874"/>
    </row>
    <row r="141" spans="24:24">
      <c r="X141" s="874"/>
    </row>
    <row r="142" spans="24:24">
      <c r="X142" s="874"/>
    </row>
    <row r="143" spans="24:24">
      <c r="X143" s="874"/>
    </row>
    <row r="144" spans="24:24">
      <c r="X144" s="874"/>
    </row>
    <row r="145" spans="24:24">
      <c r="X145" s="874"/>
    </row>
    <row r="146" spans="24:24">
      <c r="X146" s="874"/>
    </row>
    <row r="147" spans="24:24">
      <c r="X147" s="874"/>
    </row>
    <row r="148" spans="24:24">
      <c r="X148" s="874"/>
    </row>
    <row r="149" spans="24:24">
      <c r="X149" s="874"/>
    </row>
    <row r="150" spans="24:24">
      <c r="X150" s="874"/>
    </row>
    <row r="151" spans="24:24">
      <c r="X151" s="874"/>
    </row>
    <row r="152" spans="24:24">
      <c r="X152" s="874"/>
    </row>
    <row r="153" spans="24:24">
      <c r="X153" s="874"/>
    </row>
    <row r="154" spans="24:24">
      <c r="X154" s="874"/>
    </row>
    <row r="155" spans="24:24">
      <c r="X155" s="874"/>
    </row>
    <row r="156" spans="24:24">
      <c r="X156" s="874"/>
    </row>
    <row r="157" spans="24:24">
      <c r="X157" s="874"/>
    </row>
    <row r="158" spans="24:24">
      <c r="X158" s="874"/>
    </row>
    <row r="159" spans="24:24">
      <c r="X159" s="874"/>
    </row>
    <row r="160" spans="24:24">
      <c r="X160" s="874"/>
    </row>
    <row r="161" spans="24:24">
      <c r="X161" s="874"/>
    </row>
    <row r="162" spans="24:24">
      <c r="X162" s="874"/>
    </row>
    <row r="163" spans="24:24">
      <c r="X163" s="874"/>
    </row>
    <row r="164" spans="24:24">
      <c r="X164" s="874"/>
    </row>
    <row r="165" spans="24:24">
      <c r="X165" s="874"/>
    </row>
    <row r="166" spans="24:24">
      <c r="X166" s="874"/>
    </row>
    <row r="167" spans="24:24">
      <c r="X167" s="874"/>
    </row>
    <row r="168" spans="24:24">
      <c r="X168" s="874"/>
    </row>
    <row r="169" spans="24:24">
      <c r="X169" s="874"/>
    </row>
    <row r="170" spans="24:24">
      <c r="X170" s="874"/>
    </row>
    <row r="171" spans="24:24">
      <c r="X171" s="874"/>
    </row>
    <row r="172" spans="24:24">
      <c r="X172" s="874"/>
    </row>
    <row r="173" spans="24:24">
      <c r="X173" s="874"/>
    </row>
    <row r="174" spans="24:24">
      <c r="X174" s="874"/>
    </row>
    <row r="175" spans="24:24">
      <c r="X175" s="874"/>
    </row>
    <row r="176" spans="24:24">
      <c r="X176" s="874"/>
    </row>
    <row r="177" spans="24:24">
      <c r="X177" s="874"/>
    </row>
    <row r="178" spans="24:24">
      <c r="X178" s="874"/>
    </row>
    <row r="179" spans="24:24">
      <c r="X179" s="874"/>
    </row>
    <row r="180" spans="24:24">
      <c r="X180" s="874"/>
    </row>
    <row r="181" spans="24:24">
      <c r="X181" s="874"/>
    </row>
    <row r="182" spans="24:24">
      <c r="X182" s="874"/>
    </row>
    <row r="183" spans="24:24">
      <c r="X183" s="874"/>
    </row>
    <row r="184" spans="24:24">
      <c r="X184" s="874"/>
    </row>
    <row r="185" spans="24:24">
      <c r="X185" s="874"/>
    </row>
    <row r="186" spans="24:24">
      <c r="X186" s="874"/>
    </row>
    <row r="187" spans="24:24">
      <c r="X187" s="874"/>
    </row>
    <row r="188" spans="24:24">
      <c r="X188" s="874"/>
    </row>
    <row r="189" spans="24:24">
      <c r="X189" s="874"/>
    </row>
    <row r="190" spans="24:24">
      <c r="X190" s="874"/>
    </row>
    <row r="191" spans="24:24">
      <c r="X191" s="874"/>
    </row>
    <row r="192" spans="24:24">
      <c r="X192" s="874"/>
    </row>
    <row r="193" spans="2:24" ht="15.6">
      <c r="B193" s="3719"/>
      <c r="C193" s="3719"/>
      <c r="D193" s="3719"/>
      <c r="E193" s="3719"/>
      <c r="F193" s="3719"/>
      <c r="G193" s="3043"/>
      <c r="I193" s="3043"/>
      <c r="J193" s="874"/>
      <c r="K193" s="3043"/>
      <c r="L193" s="179"/>
      <c r="M193" s="3043"/>
      <c r="N193" s="179"/>
      <c r="O193" s="3043"/>
      <c r="P193" s="179"/>
      <c r="Q193" s="3043"/>
      <c r="R193" s="179"/>
      <c r="S193" s="3043"/>
      <c r="T193" s="179"/>
      <c r="U193" s="3043"/>
      <c r="V193" s="179"/>
      <c r="X193" s="874"/>
    </row>
    <row r="194" spans="2:24" ht="15.6">
      <c r="B194" s="3719"/>
      <c r="C194" s="3719"/>
      <c r="D194" s="3719"/>
      <c r="E194" s="3719"/>
      <c r="F194" s="3719"/>
      <c r="G194" s="3043"/>
      <c r="I194" s="3043"/>
      <c r="J194" s="874"/>
      <c r="K194" s="3043"/>
      <c r="L194" s="179"/>
      <c r="M194" s="3043"/>
      <c r="N194" s="179"/>
      <c r="O194" s="3043"/>
      <c r="P194" s="179"/>
      <c r="Q194" s="3043"/>
      <c r="R194" s="179"/>
      <c r="S194" s="3043"/>
      <c r="T194" s="179"/>
      <c r="U194" s="3043"/>
      <c r="V194" s="179"/>
      <c r="X194" s="874"/>
    </row>
    <row r="195" spans="2:24" ht="15.6">
      <c r="B195" s="3719"/>
      <c r="C195" s="3719"/>
      <c r="D195" s="3719"/>
      <c r="E195" s="3719"/>
      <c r="F195" s="3719"/>
      <c r="G195" s="3043"/>
      <c r="I195" s="3043"/>
      <c r="J195" s="874"/>
      <c r="K195" s="3043"/>
      <c r="L195" s="179"/>
      <c r="M195" s="3043"/>
      <c r="N195" s="179"/>
      <c r="O195" s="3043"/>
      <c r="P195" s="179"/>
      <c r="Q195" s="3043"/>
      <c r="R195" s="179"/>
      <c r="S195" s="3043"/>
      <c r="T195" s="179"/>
      <c r="U195" s="3043"/>
      <c r="V195" s="179"/>
      <c r="X195" s="874"/>
    </row>
    <row r="196" spans="2:24">
      <c r="X196" s="874"/>
    </row>
    <row r="197" spans="2:24" ht="21.75" customHeight="1">
      <c r="B197" s="885"/>
      <c r="C197" s="885"/>
      <c r="D197" s="886"/>
      <c r="E197" s="887"/>
      <c r="F197" s="886"/>
      <c r="G197" s="887"/>
      <c r="I197" s="887"/>
      <c r="J197" s="887"/>
      <c r="K197" s="887"/>
      <c r="L197" s="887"/>
      <c r="M197" s="887"/>
      <c r="N197" s="887"/>
      <c r="O197" s="887"/>
      <c r="P197" s="887"/>
      <c r="Q197" s="887"/>
      <c r="R197" s="887"/>
      <c r="S197" s="887"/>
      <c r="T197" s="887"/>
      <c r="U197" s="887"/>
      <c r="V197" s="887"/>
      <c r="X197" s="874"/>
    </row>
    <row r="198" spans="2:24" ht="15.75" customHeight="1">
      <c r="B198" s="888"/>
      <c r="C198" s="888"/>
      <c r="D198" s="886"/>
      <c r="E198" s="887"/>
      <c r="F198" s="886"/>
      <c r="G198" s="887"/>
      <c r="I198" s="887"/>
      <c r="J198" s="887"/>
      <c r="K198" s="887"/>
      <c r="L198" s="887"/>
      <c r="M198" s="887"/>
      <c r="N198" s="887"/>
      <c r="O198" s="887"/>
      <c r="P198" s="887"/>
      <c r="Q198" s="887"/>
      <c r="R198" s="887"/>
      <c r="S198" s="887"/>
      <c r="T198" s="887"/>
      <c r="U198" s="887"/>
      <c r="V198" s="887"/>
      <c r="X198" s="874"/>
    </row>
    <row r="199" spans="2:24" ht="13.8">
      <c r="B199" s="889"/>
      <c r="C199" s="889"/>
      <c r="D199" s="890"/>
      <c r="E199" s="891"/>
      <c r="F199" s="890"/>
      <c r="G199" s="891"/>
      <c r="I199" s="891"/>
      <c r="J199" s="891"/>
      <c r="K199" s="891"/>
      <c r="L199" s="891"/>
      <c r="M199" s="891"/>
      <c r="N199" s="891"/>
      <c r="O199" s="891"/>
      <c r="P199" s="891"/>
      <c r="Q199" s="891"/>
      <c r="R199" s="891"/>
      <c r="S199" s="891"/>
      <c r="T199" s="891"/>
      <c r="U199" s="891"/>
      <c r="V199" s="891"/>
      <c r="X199" s="874"/>
    </row>
    <row r="200" spans="2:24" ht="13.8">
      <c r="B200" s="889"/>
      <c r="C200" s="889"/>
      <c r="D200" s="890"/>
      <c r="E200" s="891"/>
      <c r="F200" s="890"/>
      <c r="G200" s="891"/>
      <c r="I200" s="891"/>
      <c r="J200" s="891"/>
      <c r="K200" s="891"/>
      <c r="L200" s="891"/>
      <c r="M200" s="891"/>
      <c r="N200" s="891"/>
      <c r="O200" s="891"/>
      <c r="P200" s="891"/>
      <c r="Q200" s="891"/>
      <c r="R200" s="891"/>
      <c r="S200" s="891"/>
      <c r="T200" s="891"/>
      <c r="U200" s="891"/>
      <c r="V200" s="891"/>
      <c r="X200" s="874"/>
    </row>
    <row r="201" spans="2:24" ht="13.8">
      <c r="B201" s="889"/>
      <c r="C201" s="889"/>
      <c r="D201" s="890"/>
      <c r="E201" s="891"/>
      <c r="F201" s="890"/>
      <c r="G201" s="891"/>
      <c r="I201" s="891"/>
      <c r="J201" s="891"/>
      <c r="K201" s="891"/>
      <c r="L201" s="891"/>
      <c r="M201" s="891"/>
      <c r="N201" s="891"/>
      <c r="O201" s="891"/>
      <c r="P201" s="891"/>
      <c r="Q201" s="891"/>
      <c r="R201" s="891"/>
      <c r="S201" s="891"/>
      <c r="T201" s="891"/>
      <c r="U201" s="891"/>
      <c r="V201" s="891"/>
      <c r="X201" s="874"/>
    </row>
    <row r="202" spans="2:24" ht="15.6">
      <c r="B202" s="3571" t="str">
        <f>J1</f>
        <v>עירית הרצליה</v>
      </c>
      <c r="C202" s="3571"/>
      <c r="D202" s="3571"/>
      <c r="E202" s="3571"/>
      <c r="F202" s="3571"/>
      <c r="G202" s="3571"/>
      <c r="H202" s="3571"/>
      <c r="I202" s="3571"/>
      <c r="J202" s="3571"/>
      <c r="K202" s="3571"/>
      <c r="L202" s="3571"/>
      <c r="M202" s="3571"/>
      <c r="N202" s="3571"/>
      <c r="O202" s="3571"/>
      <c r="P202" s="3571"/>
      <c r="Q202" s="3571"/>
      <c r="R202" s="3571"/>
      <c r="S202" s="3571"/>
      <c r="T202" s="3571"/>
      <c r="U202" s="3571"/>
      <c r="V202" s="3571"/>
      <c r="W202" s="3084"/>
      <c r="X202" s="874"/>
    </row>
    <row r="203" spans="2:24" ht="15.6">
      <c r="B203" s="3571" t="str">
        <f>J2</f>
        <v>הדוח הכספי לשנת 2015</v>
      </c>
      <c r="C203" s="3571"/>
      <c r="D203" s="3571"/>
      <c r="E203" s="3571"/>
      <c r="F203" s="3571"/>
      <c r="G203" s="3571"/>
      <c r="H203" s="3571"/>
      <c r="I203" s="3571"/>
      <c r="J203" s="3571"/>
      <c r="K203" s="3571"/>
      <c r="L203" s="3571"/>
      <c r="M203" s="3571"/>
      <c r="N203" s="3571"/>
      <c r="O203" s="3571"/>
      <c r="P203" s="3571"/>
      <c r="Q203" s="3571"/>
      <c r="R203" s="3571"/>
      <c r="S203" s="3571"/>
      <c r="T203" s="3571"/>
      <c r="U203" s="3571"/>
      <c r="V203" s="3571"/>
      <c r="W203" s="3084"/>
      <c r="X203" s="874"/>
    </row>
    <row r="204" spans="2:24" ht="15.75" customHeight="1">
      <c r="B204" s="3571" t="str">
        <f>H3</f>
        <v>טבלת שטחים וגביה - נספח א לדוח הביקורת המפורט</v>
      </c>
      <c r="C204" s="3571"/>
      <c r="D204" s="3571"/>
      <c r="E204" s="3571"/>
      <c r="F204" s="3571"/>
      <c r="G204" s="3571"/>
      <c r="H204" s="3571"/>
      <c r="I204" s="3571"/>
      <c r="J204" s="3571"/>
      <c r="K204" s="3571"/>
      <c r="L204" s="3571"/>
      <c r="M204" s="3571"/>
      <c r="N204" s="3571"/>
      <c r="O204" s="3571"/>
      <c r="P204" s="3571"/>
      <c r="Q204" s="3571"/>
      <c r="R204" s="3571"/>
      <c r="S204" s="3571"/>
      <c r="T204" s="3571"/>
      <c r="U204" s="3571"/>
      <c r="V204" s="3571"/>
      <c r="W204" s="3084"/>
      <c r="X204" s="874"/>
    </row>
    <row r="205" spans="2:24">
      <c r="B205" s="179">
        <f t="shared" ref="B205:V205" si="16">B4</f>
        <v>0</v>
      </c>
      <c r="C205" s="179">
        <f t="shared" si="16"/>
        <v>0</v>
      </c>
      <c r="D205" s="179">
        <f t="shared" si="16"/>
        <v>0</v>
      </c>
      <c r="E205" s="179">
        <f t="shared" si="16"/>
        <v>0</v>
      </c>
      <c r="F205" s="179">
        <f t="shared" si="16"/>
        <v>0</v>
      </c>
      <c r="G205" s="179">
        <f t="shared" si="16"/>
        <v>0</v>
      </c>
      <c r="H205" s="179">
        <f t="shared" si="16"/>
        <v>0</v>
      </c>
      <c r="I205" s="179">
        <f t="shared" si="16"/>
        <v>0</v>
      </c>
      <c r="J205" s="179">
        <f t="shared" si="16"/>
        <v>0</v>
      </c>
      <c r="K205" s="179">
        <f t="shared" si="16"/>
        <v>0</v>
      </c>
      <c r="L205" s="179">
        <f t="shared" si="16"/>
        <v>0</v>
      </c>
      <c r="M205" s="179">
        <f t="shared" si="16"/>
        <v>0</v>
      </c>
      <c r="N205" s="179">
        <f t="shared" si="16"/>
        <v>0</v>
      </c>
      <c r="O205" s="179">
        <f t="shared" si="16"/>
        <v>0</v>
      </c>
      <c r="P205" s="179">
        <f t="shared" si="16"/>
        <v>0</v>
      </c>
      <c r="Q205" s="179">
        <f t="shared" si="16"/>
        <v>0</v>
      </c>
      <c r="R205" s="179">
        <f t="shared" si="16"/>
        <v>0</v>
      </c>
      <c r="S205" s="179">
        <f t="shared" si="16"/>
        <v>0</v>
      </c>
      <c r="T205" s="179">
        <f t="shared" si="16"/>
        <v>0</v>
      </c>
      <c r="U205" s="179">
        <f t="shared" si="16"/>
        <v>0</v>
      </c>
      <c r="V205" s="179">
        <f t="shared" si="16"/>
        <v>0</v>
      </c>
      <c r="X205" s="874"/>
    </row>
    <row r="206" spans="2:24">
      <c r="B206" s="179">
        <f t="shared" ref="B206:V206" si="17">B5</f>
        <v>0</v>
      </c>
      <c r="C206" s="179">
        <f t="shared" si="17"/>
        <v>0</v>
      </c>
      <c r="D206" s="179">
        <f t="shared" si="17"/>
        <v>0</v>
      </c>
      <c r="E206" s="179">
        <f t="shared" si="17"/>
        <v>0</v>
      </c>
      <c r="F206" s="179">
        <f t="shared" si="17"/>
        <v>0</v>
      </c>
      <c r="G206" s="179">
        <f t="shared" si="17"/>
        <v>0</v>
      </c>
      <c r="H206" s="179">
        <f t="shared" si="17"/>
        <v>0</v>
      </c>
      <c r="I206" s="179">
        <f t="shared" si="17"/>
        <v>0</v>
      </c>
      <c r="J206" s="179">
        <f t="shared" si="17"/>
        <v>0</v>
      </c>
      <c r="K206" s="179">
        <f t="shared" si="17"/>
        <v>0</v>
      </c>
      <c r="L206" s="179">
        <f t="shared" si="17"/>
        <v>0</v>
      </c>
      <c r="M206" s="179">
        <f t="shared" si="17"/>
        <v>0</v>
      </c>
      <c r="N206" s="179">
        <f t="shared" si="17"/>
        <v>0</v>
      </c>
      <c r="O206" s="179">
        <f t="shared" si="17"/>
        <v>0</v>
      </c>
      <c r="P206" s="179">
        <f t="shared" si="17"/>
        <v>0</v>
      </c>
      <c r="Q206" s="179">
        <f t="shared" si="17"/>
        <v>0</v>
      </c>
      <c r="R206" s="179">
        <f t="shared" si="17"/>
        <v>0</v>
      </c>
      <c r="S206" s="179">
        <f t="shared" si="17"/>
        <v>0</v>
      </c>
      <c r="T206" s="179">
        <f t="shared" si="17"/>
        <v>0</v>
      </c>
      <c r="U206" s="179">
        <f t="shared" si="17"/>
        <v>0</v>
      </c>
      <c r="V206" s="179">
        <f t="shared" si="17"/>
        <v>0</v>
      </c>
      <c r="X206" s="874"/>
    </row>
    <row r="207" spans="2:24">
      <c r="B207" s="291" t="str">
        <f t="shared" ref="B207:V207" si="18">B6</f>
        <v>סוג הנכס</v>
      </c>
      <c r="C207" s="291">
        <f t="shared" si="18"/>
        <v>0</v>
      </c>
      <c r="D207" s="3711" t="str">
        <f t="shared" si="18"/>
        <v>שטחים באלפי מ"ר</v>
      </c>
      <c r="E207" s="3711"/>
      <c r="F207" s="3711"/>
      <c r="G207" s="291">
        <f t="shared" si="18"/>
        <v>0</v>
      </c>
      <c r="H207" s="3711" t="str">
        <f t="shared" si="18"/>
        <v>חיוב משוקלל למ"ר בש"ח</v>
      </c>
      <c r="I207" s="3711"/>
      <c r="J207" s="3711"/>
      <c r="K207" s="291">
        <f t="shared" si="18"/>
        <v>0</v>
      </c>
      <c r="L207" s="3711" t="str">
        <f t="shared" si="18"/>
        <v>סה"כ חיוב באלפי ש"ח</v>
      </c>
      <c r="M207" s="3711"/>
      <c r="N207" s="3711"/>
      <c r="O207" s="291">
        <f t="shared" si="18"/>
        <v>0</v>
      </c>
      <c r="P207" s="3711" t="str">
        <f t="shared" si="18"/>
        <v>השינוי ב - %</v>
      </c>
      <c r="Q207" s="3711"/>
      <c r="R207" s="3711"/>
      <c r="S207" s="291">
        <f t="shared" si="18"/>
        <v>0</v>
      </c>
      <c r="T207" s="3712" t="str">
        <f t="shared" si="18"/>
        <v>גידול (קיטון) שטחים באלפי מ"ר</v>
      </c>
      <c r="U207" s="291">
        <f t="shared" si="18"/>
        <v>0</v>
      </c>
      <c r="V207" s="3712" t="str">
        <f t="shared" si="18"/>
        <v>גידול (קיטון) שטחים ב - %</v>
      </c>
      <c r="X207" s="874"/>
    </row>
    <row r="208" spans="2:24">
      <c r="B208" s="291">
        <f t="shared" ref="B208:V208" si="19">B7</f>
        <v>0</v>
      </c>
      <c r="C208" s="291">
        <f t="shared" si="19"/>
        <v>0</v>
      </c>
      <c r="D208" s="3061">
        <f t="shared" si="19"/>
        <v>2015</v>
      </c>
      <c r="E208" s="3061">
        <f t="shared" si="19"/>
        <v>0</v>
      </c>
      <c r="F208" s="3061">
        <f t="shared" si="19"/>
        <v>2014</v>
      </c>
      <c r="G208" s="3061">
        <f t="shared" si="19"/>
        <v>0</v>
      </c>
      <c r="H208" s="3061">
        <f t="shared" si="19"/>
        <v>2015</v>
      </c>
      <c r="I208" s="3061">
        <f t="shared" si="19"/>
        <v>0</v>
      </c>
      <c r="J208" s="3061">
        <f t="shared" si="19"/>
        <v>2014</v>
      </c>
      <c r="K208" s="3061">
        <f t="shared" si="19"/>
        <v>0</v>
      </c>
      <c r="L208" s="3061">
        <f t="shared" si="19"/>
        <v>2015</v>
      </c>
      <c r="M208" s="3061">
        <f t="shared" si="19"/>
        <v>0</v>
      </c>
      <c r="N208" s="3061">
        <f t="shared" si="19"/>
        <v>2014</v>
      </c>
      <c r="O208" s="291">
        <f t="shared" si="19"/>
        <v>0</v>
      </c>
      <c r="P208" s="3711" t="str">
        <f t="shared" si="19"/>
        <v>בחיוב משוקלל למ"ר</v>
      </c>
      <c r="Q208" s="3711"/>
      <c r="R208" s="291" t="str">
        <f t="shared" si="19"/>
        <v>בסה"כ חיוב</v>
      </c>
      <c r="S208" s="291">
        <f t="shared" si="19"/>
        <v>0</v>
      </c>
      <c r="T208" s="3712"/>
      <c r="U208" s="291">
        <f t="shared" si="19"/>
        <v>0</v>
      </c>
      <c r="V208" s="3712">
        <f t="shared" si="19"/>
        <v>0</v>
      </c>
      <c r="X208" s="874"/>
    </row>
    <row r="209" spans="2:27">
      <c r="B209" s="179">
        <f t="shared" ref="B209:V209" si="20">B8</f>
        <v>0</v>
      </c>
      <c r="C209" s="179">
        <f t="shared" si="20"/>
        <v>0</v>
      </c>
      <c r="D209" s="3234">
        <f t="shared" si="20"/>
        <v>0</v>
      </c>
      <c r="E209" s="3234">
        <f t="shared" si="20"/>
        <v>0</v>
      </c>
      <c r="F209" s="3234">
        <f t="shared" si="20"/>
        <v>0</v>
      </c>
      <c r="G209" s="3234">
        <f t="shared" si="20"/>
        <v>0</v>
      </c>
      <c r="H209" s="3234">
        <f t="shared" si="20"/>
        <v>0</v>
      </c>
      <c r="I209" s="3234">
        <f t="shared" si="20"/>
        <v>0</v>
      </c>
      <c r="J209" s="3234">
        <f t="shared" si="20"/>
        <v>0</v>
      </c>
      <c r="K209" s="3234">
        <f t="shared" si="20"/>
        <v>0</v>
      </c>
      <c r="L209" s="3237">
        <f t="shared" si="20"/>
        <v>0</v>
      </c>
      <c r="M209" s="3237">
        <f t="shared" si="20"/>
        <v>0</v>
      </c>
      <c r="N209" s="3237">
        <f t="shared" si="20"/>
        <v>0</v>
      </c>
      <c r="O209" s="3234">
        <f t="shared" si="20"/>
        <v>0</v>
      </c>
      <c r="P209" s="3062">
        <f t="shared" si="20"/>
        <v>0</v>
      </c>
      <c r="Q209" s="3062">
        <f t="shared" si="20"/>
        <v>0</v>
      </c>
      <c r="R209" s="3062">
        <f t="shared" si="20"/>
        <v>0</v>
      </c>
      <c r="S209" s="179">
        <f t="shared" si="20"/>
        <v>0</v>
      </c>
      <c r="T209" s="3121">
        <f t="shared" si="20"/>
        <v>0</v>
      </c>
      <c r="U209" s="179">
        <f t="shared" si="20"/>
        <v>0</v>
      </c>
      <c r="V209" s="3062">
        <f t="shared" si="20"/>
        <v>0</v>
      </c>
      <c r="X209" s="874"/>
    </row>
    <row r="210" spans="2:27">
      <c r="B210" s="3218" t="str">
        <f t="shared" ref="B210:V210" si="21">B9</f>
        <v>מבנה מגורים</v>
      </c>
      <c r="C210" s="3218">
        <f t="shared" si="21"/>
        <v>0</v>
      </c>
      <c r="D210" s="3234">
        <f t="shared" si="21"/>
        <v>3704.87</v>
      </c>
      <c r="E210" s="3234">
        <f t="shared" si="21"/>
        <v>0</v>
      </c>
      <c r="F210" s="3234">
        <f t="shared" si="21"/>
        <v>3653</v>
      </c>
      <c r="G210" s="3234">
        <f t="shared" si="21"/>
        <v>0</v>
      </c>
      <c r="H210" s="3234">
        <f t="shared" si="21"/>
        <v>58.563790362414878</v>
      </c>
      <c r="I210" s="3234">
        <f t="shared" si="21"/>
        <v>0</v>
      </c>
      <c r="J210" s="3234">
        <f t="shared" si="21"/>
        <v>57.975362715576239</v>
      </c>
      <c r="K210" s="3234">
        <f t="shared" si="21"/>
        <v>0</v>
      </c>
      <c r="L210" s="3237">
        <f t="shared" si="21"/>
        <v>216971.23</v>
      </c>
      <c r="M210" s="3237">
        <f t="shared" si="21"/>
        <v>0</v>
      </c>
      <c r="N210" s="3237">
        <f t="shared" si="21"/>
        <v>211784</v>
      </c>
      <c r="O210" s="3234">
        <f t="shared" si="21"/>
        <v>0</v>
      </c>
      <c r="P210" s="3062">
        <f t="shared" si="21"/>
        <v>1.0149615617334396E-2</v>
      </c>
      <c r="Q210" s="3062">
        <f t="shared" si="21"/>
        <v>0</v>
      </c>
      <c r="R210" s="3062">
        <f t="shared" si="21"/>
        <v>2.4493021191402609E-2</v>
      </c>
      <c r="S210" s="3218">
        <f t="shared" si="21"/>
        <v>0</v>
      </c>
      <c r="T210" s="3121">
        <f t="shared" si="21"/>
        <v>51.869999999999891</v>
      </c>
      <c r="U210" s="3218">
        <f t="shared" si="21"/>
        <v>0</v>
      </c>
      <c r="V210" s="3062">
        <f t="shared" si="21"/>
        <v>1.4199288256227727E-2</v>
      </c>
      <c r="X210" s="874"/>
      <c r="Y210" s="3218"/>
      <c r="Z210" s="3218"/>
      <c r="AA210" s="3218"/>
    </row>
    <row r="211" spans="2:27">
      <c r="B211" s="3218" t="str">
        <f t="shared" ref="B211:V211" si="22">B11</f>
        <v>משרדים שירותים ומסחר</v>
      </c>
      <c r="C211" s="3218">
        <f t="shared" si="22"/>
        <v>0</v>
      </c>
      <c r="D211" s="3234">
        <f t="shared" si="22"/>
        <v>565.85</v>
      </c>
      <c r="E211" s="3234">
        <f t="shared" si="22"/>
        <v>0</v>
      </c>
      <c r="F211" s="3234">
        <f t="shared" si="22"/>
        <v>565</v>
      </c>
      <c r="G211" s="3234">
        <f t="shared" si="22"/>
        <v>0</v>
      </c>
      <c r="H211" s="3234">
        <f t="shared" si="22"/>
        <v>288.04243173986038</v>
      </c>
      <c r="I211" s="3234">
        <f t="shared" si="22"/>
        <v>0</v>
      </c>
      <c r="J211" s="3234">
        <f t="shared" si="22"/>
        <v>287.44424778761061</v>
      </c>
      <c r="K211" s="3234">
        <f t="shared" si="22"/>
        <v>0</v>
      </c>
      <c r="L211" s="3237">
        <f t="shared" si="22"/>
        <v>162988.81</v>
      </c>
      <c r="M211" s="3237">
        <f t="shared" si="22"/>
        <v>0</v>
      </c>
      <c r="N211" s="3237">
        <f t="shared" si="22"/>
        <v>162406</v>
      </c>
      <c r="O211" s="3234">
        <f t="shared" si="22"/>
        <v>0</v>
      </c>
      <c r="P211" s="3062">
        <f t="shared" si="22"/>
        <v>2.0810433913840604E-3</v>
      </c>
      <c r="Q211" s="3062">
        <f t="shared" si="22"/>
        <v>0</v>
      </c>
      <c r="R211" s="3062">
        <f t="shared" si="22"/>
        <v>3.5885989433887765E-3</v>
      </c>
      <c r="S211" s="3218">
        <f t="shared" si="22"/>
        <v>0</v>
      </c>
      <c r="T211" s="3121">
        <f t="shared" si="22"/>
        <v>0.85000000000002274</v>
      </c>
      <c r="U211" s="3218">
        <f t="shared" si="22"/>
        <v>0</v>
      </c>
      <c r="V211" s="3062">
        <f t="shared" si="22"/>
        <v>1.5044247787611021E-3</v>
      </c>
      <c r="X211" s="874"/>
      <c r="Y211" s="3218"/>
      <c r="Z211" s="3218"/>
      <c r="AA211" s="3218"/>
    </row>
    <row r="212" spans="2:27">
      <c r="B212" s="3218" t="str">
        <f t="shared" ref="B212:V212" si="23">B12</f>
        <v>בנקים וחברות ביטוח</v>
      </c>
      <c r="C212" s="3218">
        <f t="shared" si="23"/>
        <v>0</v>
      </c>
      <c r="D212" s="3234">
        <f t="shared" si="23"/>
        <v>12.59</v>
      </c>
      <c r="E212" s="3234">
        <f t="shared" si="23"/>
        <v>0</v>
      </c>
      <c r="F212" s="3234">
        <f t="shared" si="23"/>
        <v>12</v>
      </c>
      <c r="G212" s="3234">
        <f t="shared" si="23"/>
        <v>0</v>
      </c>
      <c r="H212" s="3234">
        <f t="shared" si="23"/>
        <v>1320.5297855440826</v>
      </c>
      <c r="I212" s="3234">
        <f t="shared" si="23"/>
        <v>0</v>
      </c>
      <c r="J212" s="3234">
        <f t="shared" si="23"/>
        <v>1368.25</v>
      </c>
      <c r="K212" s="3234">
        <f t="shared" si="23"/>
        <v>0</v>
      </c>
      <c r="L212" s="3237">
        <f t="shared" si="23"/>
        <v>16625.47</v>
      </c>
      <c r="M212" s="3237">
        <f t="shared" si="23"/>
        <v>0</v>
      </c>
      <c r="N212" s="3237">
        <f t="shared" si="23"/>
        <v>16419</v>
      </c>
      <c r="O212" s="3234">
        <f t="shared" si="23"/>
        <v>0</v>
      </c>
      <c r="P212" s="3062">
        <f t="shared" si="23"/>
        <v>-3.4876824013095088E-2</v>
      </c>
      <c r="Q212" s="3062">
        <f t="shared" si="23"/>
        <v>0</v>
      </c>
      <c r="R212" s="3062">
        <f t="shared" si="23"/>
        <v>1.2575065472927777E-2</v>
      </c>
      <c r="S212" s="3218">
        <f t="shared" si="23"/>
        <v>0</v>
      </c>
      <c r="T212" s="3121">
        <f t="shared" si="23"/>
        <v>0.58999999999999986</v>
      </c>
      <c r="U212" s="3218">
        <f t="shared" si="23"/>
        <v>0</v>
      </c>
      <c r="V212" s="3062">
        <f t="shared" si="23"/>
        <v>4.9166666666666657E-2</v>
      </c>
      <c r="X212" s="874"/>
      <c r="Y212" s="3218"/>
      <c r="Z212" s="3218"/>
      <c r="AA212" s="3218"/>
    </row>
    <row r="213" spans="2:27">
      <c r="B213" s="3218" t="str">
        <f t="shared" ref="B213:V213" si="24">B13</f>
        <v>תעשיה</v>
      </c>
      <c r="C213" s="3218">
        <f t="shared" si="24"/>
        <v>0</v>
      </c>
      <c r="D213" s="3234">
        <f t="shared" si="24"/>
        <v>440.58</v>
      </c>
      <c r="E213" s="3234">
        <f t="shared" si="24"/>
        <v>0</v>
      </c>
      <c r="F213" s="3234">
        <f t="shared" si="24"/>
        <v>439.98</v>
      </c>
      <c r="G213" s="3234">
        <f t="shared" si="24"/>
        <v>0</v>
      </c>
      <c r="H213" s="3234">
        <f t="shared" si="24"/>
        <v>125.28457941803985</v>
      </c>
      <c r="I213" s="3234">
        <f t="shared" si="24"/>
        <v>0</v>
      </c>
      <c r="J213" s="3234">
        <f t="shared" si="24"/>
        <v>124.09654984317469</v>
      </c>
      <c r="K213" s="3234">
        <f t="shared" si="24"/>
        <v>0</v>
      </c>
      <c r="L213" s="3237">
        <f t="shared" si="24"/>
        <v>55197.88</v>
      </c>
      <c r="M213" s="3237">
        <f t="shared" si="24"/>
        <v>0</v>
      </c>
      <c r="N213" s="3237">
        <f t="shared" si="24"/>
        <v>54600</v>
      </c>
      <c r="O213" s="3234">
        <f t="shared" si="24"/>
        <v>0</v>
      </c>
      <c r="P213" s="3062">
        <f t="shared" si="24"/>
        <v>9.5734295302047079E-3</v>
      </c>
      <c r="Q213" s="3062">
        <f t="shared" si="24"/>
        <v>0</v>
      </c>
      <c r="R213" s="3062">
        <f t="shared" si="24"/>
        <v>1.0950183150183103E-2</v>
      </c>
      <c r="S213" s="3218">
        <f t="shared" si="24"/>
        <v>0</v>
      </c>
      <c r="T213" s="3121">
        <f t="shared" si="24"/>
        <v>0.59999999999996589</v>
      </c>
      <c r="U213" s="3218">
        <f t="shared" si="24"/>
        <v>0</v>
      </c>
      <c r="V213" s="3062">
        <f t="shared" si="24"/>
        <v>1.3636983499249191E-3</v>
      </c>
      <c r="X213" s="874"/>
      <c r="Y213" s="3218"/>
      <c r="Z213" s="3218"/>
      <c r="AA213" s="3218"/>
    </row>
    <row r="214" spans="2:27">
      <c r="B214" s="3218" t="str">
        <f t="shared" ref="B214:V214" si="25">B14</f>
        <v>בתי מלון</v>
      </c>
      <c r="C214" s="3218">
        <f t="shared" si="25"/>
        <v>0</v>
      </c>
      <c r="D214" s="3234">
        <f t="shared" si="25"/>
        <v>84.02</v>
      </c>
      <c r="E214" s="3234">
        <f t="shared" si="25"/>
        <v>0</v>
      </c>
      <c r="F214" s="3234">
        <f t="shared" si="25"/>
        <v>93</v>
      </c>
      <c r="G214" s="3234">
        <f t="shared" si="25"/>
        <v>0</v>
      </c>
      <c r="H214" s="3234">
        <f t="shared" si="25"/>
        <v>115.70388002856464</v>
      </c>
      <c r="I214" s="3234">
        <f t="shared" si="25"/>
        <v>0</v>
      </c>
      <c r="J214" s="3234">
        <f t="shared" si="25"/>
        <v>115.33333333333333</v>
      </c>
      <c r="K214" s="3234">
        <f t="shared" si="25"/>
        <v>0</v>
      </c>
      <c r="L214" s="3237">
        <f t="shared" si="25"/>
        <v>9721.44</v>
      </c>
      <c r="M214" s="3237">
        <f t="shared" si="25"/>
        <v>0</v>
      </c>
      <c r="N214" s="3237">
        <f t="shared" si="25"/>
        <v>10726</v>
      </c>
      <c r="O214" s="3234">
        <f t="shared" si="25"/>
        <v>0</v>
      </c>
      <c r="P214" s="3062">
        <f t="shared" si="25"/>
        <v>3.2128326176125289E-3</v>
      </c>
      <c r="Q214" s="3062">
        <f t="shared" si="25"/>
        <v>0</v>
      </c>
      <c r="R214" s="3062">
        <f t="shared" si="25"/>
        <v>-9.3656535521163486E-2</v>
      </c>
      <c r="S214" s="3218">
        <f t="shared" si="25"/>
        <v>0</v>
      </c>
      <c r="T214" s="3121">
        <f t="shared" si="25"/>
        <v>-8.980000000000004</v>
      </c>
      <c r="U214" s="3218">
        <f t="shared" si="25"/>
        <v>0</v>
      </c>
      <c r="V214" s="3062">
        <f t="shared" si="25"/>
        <v>-9.6559139784946277E-2</v>
      </c>
      <c r="X214" s="874"/>
      <c r="Y214" s="3218"/>
      <c r="Z214" s="3218"/>
      <c r="AA214" s="3218"/>
    </row>
    <row r="215" spans="2:27">
      <c r="B215" s="3218" t="str">
        <f t="shared" ref="B215:V215" si="26">B15</f>
        <v>מלאכה</v>
      </c>
      <c r="C215" s="3218">
        <f t="shared" si="26"/>
        <v>0</v>
      </c>
      <c r="D215" s="3234">
        <f t="shared" si="26"/>
        <v>0</v>
      </c>
      <c r="E215" s="3234">
        <f t="shared" si="26"/>
        <v>0</v>
      </c>
      <c r="F215" s="3234">
        <f t="shared" si="26"/>
        <v>0</v>
      </c>
      <c r="G215" s="3234">
        <f t="shared" si="26"/>
        <v>0</v>
      </c>
      <c r="H215" s="3234">
        <f t="shared" si="26"/>
        <v>0</v>
      </c>
      <c r="I215" s="3234">
        <f t="shared" si="26"/>
        <v>0</v>
      </c>
      <c r="J215" s="3234">
        <f t="shared" si="26"/>
        <v>0</v>
      </c>
      <c r="K215" s="3234">
        <f t="shared" si="26"/>
        <v>0</v>
      </c>
      <c r="L215" s="3237">
        <f t="shared" si="26"/>
        <v>0</v>
      </c>
      <c r="M215" s="3237">
        <f t="shared" si="26"/>
        <v>0</v>
      </c>
      <c r="N215" s="3237">
        <f t="shared" si="26"/>
        <v>0</v>
      </c>
      <c r="O215" s="3234">
        <f t="shared" si="26"/>
        <v>0</v>
      </c>
      <c r="P215" s="3062">
        <f t="shared" si="26"/>
        <v>0</v>
      </c>
      <c r="Q215" s="3062">
        <f t="shared" si="26"/>
        <v>0</v>
      </c>
      <c r="R215" s="3062">
        <f t="shared" si="26"/>
        <v>0</v>
      </c>
      <c r="S215" s="3218">
        <f t="shared" si="26"/>
        <v>0</v>
      </c>
      <c r="T215" s="3121">
        <f t="shared" si="26"/>
        <v>0</v>
      </c>
      <c r="U215" s="3218">
        <f t="shared" si="26"/>
        <v>0</v>
      </c>
      <c r="V215" s="3062">
        <f t="shared" si="26"/>
        <v>0</v>
      </c>
      <c r="X215" s="874"/>
      <c r="Y215" s="3218"/>
      <c r="Z215" s="3218"/>
      <c r="AA215" s="3218"/>
    </row>
    <row r="216" spans="2:27">
      <c r="B216" s="3218" t="str">
        <f t="shared" ref="B216:V216" si="27">B16</f>
        <v>אדמה חקלאית</v>
      </c>
      <c r="C216" s="3218">
        <f t="shared" si="27"/>
        <v>0</v>
      </c>
      <c r="D216" s="3234">
        <f t="shared" si="27"/>
        <v>446.4</v>
      </c>
      <c r="E216" s="3234">
        <f t="shared" si="27"/>
        <v>0</v>
      </c>
      <c r="F216" s="3234">
        <f t="shared" si="27"/>
        <v>499</v>
      </c>
      <c r="G216" s="3234">
        <f t="shared" si="27"/>
        <v>0</v>
      </c>
      <c r="H216" s="3234">
        <f t="shared" si="27"/>
        <v>3.6491935483870967E-2</v>
      </c>
      <c r="I216" s="3234">
        <f t="shared" si="27"/>
        <v>0</v>
      </c>
      <c r="J216" s="3234">
        <f t="shared" si="27"/>
        <v>3.6072144288577156E-2</v>
      </c>
      <c r="K216" s="3234">
        <f t="shared" si="27"/>
        <v>0</v>
      </c>
      <c r="L216" s="3237">
        <f t="shared" si="27"/>
        <v>16.29</v>
      </c>
      <c r="M216" s="3237">
        <f t="shared" si="27"/>
        <v>0</v>
      </c>
      <c r="N216" s="3237">
        <f t="shared" si="27"/>
        <v>18</v>
      </c>
      <c r="O216" s="3234">
        <f t="shared" si="27"/>
        <v>0</v>
      </c>
      <c r="P216" s="3062">
        <f t="shared" si="27"/>
        <v>1.1637544802867331E-2</v>
      </c>
      <c r="Q216" s="3062">
        <f t="shared" si="27"/>
        <v>0</v>
      </c>
      <c r="R216" s="3062">
        <f t="shared" si="27"/>
        <v>-9.5000000000000043E-2</v>
      </c>
      <c r="S216" s="3218">
        <f t="shared" si="27"/>
        <v>0</v>
      </c>
      <c r="T216" s="3121">
        <f t="shared" si="27"/>
        <v>-52.600000000000023</v>
      </c>
      <c r="U216" s="3218">
        <f t="shared" si="27"/>
        <v>0</v>
      </c>
      <c r="V216" s="3062">
        <f t="shared" si="27"/>
        <v>-0.10541082164328662</v>
      </c>
      <c r="X216" s="874"/>
      <c r="Y216" s="3218"/>
      <c r="Z216" s="3218"/>
      <c r="AA216" s="3218"/>
    </row>
    <row r="217" spans="2:27">
      <c r="B217" s="3218" t="str">
        <f t="shared" ref="B217:V217" si="28">B17</f>
        <v>קרקע תפוסה</v>
      </c>
      <c r="C217" s="3218">
        <f t="shared" si="28"/>
        <v>0</v>
      </c>
      <c r="D217" s="3234">
        <f t="shared" si="28"/>
        <v>516.19000000000005</v>
      </c>
      <c r="E217" s="3234">
        <f t="shared" si="28"/>
        <v>0</v>
      </c>
      <c r="F217" s="3234">
        <f t="shared" si="28"/>
        <v>509</v>
      </c>
      <c r="G217" s="3234">
        <f t="shared" si="28"/>
        <v>0</v>
      </c>
      <c r="H217" s="3234">
        <f t="shared" si="28"/>
        <v>22.028671613165692</v>
      </c>
      <c r="I217" s="3234">
        <f t="shared" si="28"/>
        <v>0</v>
      </c>
      <c r="J217" s="3234">
        <f t="shared" si="28"/>
        <v>21.962671905697444</v>
      </c>
      <c r="K217" s="3234">
        <f t="shared" si="28"/>
        <v>0</v>
      </c>
      <c r="L217" s="3237">
        <f t="shared" si="28"/>
        <v>11370.98</v>
      </c>
      <c r="M217" s="3237">
        <f t="shared" si="28"/>
        <v>0</v>
      </c>
      <c r="N217" s="3237">
        <f t="shared" si="28"/>
        <v>11179</v>
      </c>
      <c r="O217" s="3234">
        <f t="shared" si="28"/>
        <v>0</v>
      </c>
      <c r="P217" s="3062">
        <f t="shared" si="28"/>
        <v>3.0050855265531663E-3</v>
      </c>
      <c r="Q217" s="3062">
        <f t="shared" si="28"/>
        <v>0</v>
      </c>
      <c r="R217" s="3062">
        <f t="shared" si="28"/>
        <v>1.7173271312281919E-2</v>
      </c>
      <c r="S217" s="3218">
        <f t="shared" si="28"/>
        <v>0</v>
      </c>
      <c r="T217" s="3121">
        <f t="shared" si="28"/>
        <v>7.1900000000000546</v>
      </c>
      <c r="U217" s="3218">
        <f t="shared" si="28"/>
        <v>0</v>
      </c>
      <c r="V217" s="3062">
        <f t="shared" si="28"/>
        <v>1.4125736738703447E-2</v>
      </c>
      <c r="X217" s="874"/>
      <c r="Y217" s="3218"/>
      <c r="Z217" s="3218"/>
      <c r="AA217" s="3218"/>
    </row>
    <row r="218" spans="2:27">
      <c r="B218" s="3218" t="str">
        <f t="shared" ref="B218:V218" si="29">B18</f>
        <v>קרקע תפוסה במפעל עתיר שטח</v>
      </c>
      <c r="C218" s="3218">
        <f t="shared" si="29"/>
        <v>0</v>
      </c>
      <c r="D218" s="3234">
        <f t="shared" si="29"/>
        <v>620.77</v>
      </c>
      <c r="E218" s="3234">
        <f t="shared" si="29"/>
        <v>0</v>
      </c>
      <c r="F218" s="3234">
        <f t="shared" si="29"/>
        <v>621</v>
      </c>
      <c r="G218" s="3234">
        <f t="shared" si="29"/>
        <v>0</v>
      </c>
      <c r="H218" s="3234">
        <f t="shared" si="29"/>
        <v>6.4700130483109684</v>
      </c>
      <c r="I218" s="3234">
        <f t="shared" si="29"/>
        <v>0</v>
      </c>
      <c r="J218" s="3234">
        <f t="shared" si="29"/>
        <v>6.4170692431561998</v>
      </c>
      <c r="K218" s="3234">
        <f t="shared" si="29"/>
        <v>0</v>
      </c>
      <c r="L218" s="3237">
        <f t="shared" si="29"/>
        <v>4016.39</v>
      </c>
      <c r="M218" s="3237">
        <f t="shared" si="29"/>
        <v>0</v>
      </c>
      <c r="N218" s="3237">
        <f t="shared" si="29"/>
        <v>3985</v>
      </c>
      <c r="O218" s="3234">
        <f t="shared" si="29"/>
        <v>0</v>
      </c>
      <c r="P218" s="3062">
        <f t="shared" si="29"/>
        <v>8.2504649940053441E-3</v>
      </c>
      <c r="Q218" s="3062">
        <f t="shared" si="29"/>
        <v>0</v>
      </c>
      <c r="R218" s="3062">
        <f t="shared" si="29"/>
        <v>7.8770388958594416E-3</v>
      </c>
      <c r="S218" s="3218">
        <f t="shared" si="29"/>
        <v>0</v>
      </c>
      <c r="T218" s="3121">
        <f t="shared" si="29"/>
        <v>-0.23000000000001819</v>
      </c>
      <c r="U218" s="3218">
        <f t="shared" si="29"/>
        <v>0</v>
      </c>
      <c r="V218" s="3062">
        <f t="shared" si="29"/>
        <v>-3.7037037037039968E-4</v>
      </c>
      <c r="X218" s="874"/>
      <c r="Y218" s="3218"/>
      <c r="Z218" s="3218"/>
      <c r="AA218" s="3218"/>
    </row>
    <row r="219" spans="2:27">
      <c r="B219" s="3218" t="str">
        <f t="shared" ref="B219:V219" si="30">B19</f>
        <v>קרקע תפוסה המשמשת לעריכת אירועים</v>
      </c>
      <c r="C219" s="3218">
        <f t="shared" si="30"/>
        <v>0</v>
      </c>
      <c r="D219" s="3234">
        <f t="shared" si="30"/>
        <v>3.98</v>
      </c>
      <c r="E219" s="3234">
        <f t="shared" si="30"/>
        <v>0</v>
      </c>
      <c r="F219" s="3234">
        <f t="shared" si="30"/>
        <v>4</v>
      </c>
      <c r="G219" s="3234">
        <f t="shared" si="30"/>
        <v>0</v>
      </c>
      <c r="H219" s="3234">
        <f t="shared" si="30"/>
        <v>28.226130653266331</v>
      </c>
      <c r="I219" s="3234">
        <f t="shared" si="30"/>
        <v>0</v>
      </c>
      <c r="J219" s="3234">
        <f t="shared" si="30"/>
        <v>28</v>
      </c>
      <c r="K219" s="3234">
        <f t="shared" si="30"/>
        <v>0</v>
      </c>
      <c r="L219" s="3237">
        <f t="shared" si="30"/>
        <v>112.34</v>
      </c>
      <c r="M219" s="3237">
        <f t="shared" si="30"/>
        <v>0</v>
      </c>
      <c r="N219" s="3237">
        <f t="shared" si="30"/>
        <v>112</v>
      </c>
      <c r="O219" s="3234">
        <f t="shared" si="30"/>
        <v>0</v>
      </c>
      <c r="P219" s="3062">
        <f t="shared" si="30"/>
        <v>8.0760947595118291E-3</v>
      </c>
      <c r="Q219" s="3062">
        <f t="shared" si="30"/>
        <v>0</v>
      </c>
      <c r="R219" s="3062">
        <f t="shared" si="30"/>
        <v>3.035714285714316E-3</v>
      </c>
      <c r="S219" s="3218">
        <f t="shared" si="30"/>
        <v>0</v>
      </c>
      <c r="T219" s="3121">
        <f t="shared" si="30"/>
        <v>-2.0000000000000018E-2</v>
      </c>
      <c r="U219" s="3218">
        <f t="shared" si="30"/>
        <v>0</v>
      </c>
      <c r="V219" s="3062">
        <f t="shared" si="30"/>
        <v>-5.0000000000000044E-3</v>
      </c>
      <c r="X219" s="874"/>
      <c r="Y219" s="3218"/>
      <c r="Z219" s="3218"/>
      <c r="AA219" s="3218"/>
    </row>
    <row r="220" spans="2:27">
      <c r="B220" s="3218" t="str">
        <f t="shared" ref="B220:V220" si="31">B20</f>
        <v>חניונים</v>
      </c>
      <c r="C220" s="3218">
        <f t="shared" si="31"/>
        <v>0</v>
      </c>
      <c r="D220" s="3234">
        <f t="shared" si="31"/>
        <v>607.25</v>
      </c>
      <c r="E220" s="3234">
        <f t="shared" si="31"/>
        <v>0</v>
      </c>
      <c r="F220" s="3234">
        <f t="shared" si="31"/>
        <v>580</v>
      </c>
      <c r="G220" s="3234">
        <f t="shared" si="31"/>
        <v>0</v>
      </c>
      <c r="H220" s="3234">
        <f t="shared" si="31"/>
        <v>50.014096335940721</v>
      </c>
      <c r="I220" s="3234">
        <f t="shared" si="31"/>
        <v>0</v>
      </c>
      <c r="J220" s="3234">
        <f t="shared" si="31"/>
        <v>49.774137931034481</v>
      </c>
      <c r="K220" s="3234">
        <f t="shared" si="31"/>
        <v>0</v>
      </c>
      <c r="L220" s="3237">
        <f t="shared" si="31"/>
        <v>30371.06</v>
      </c>
      <c r="M220" s="3237">
        <f t="shared" si="31"/>
        <v>0</v>
      </c>
      <c r="N220" s="3237">
        <f t="shared" si="31"/>
        <v>28869</v>
      </c>
      <c r="O220" s="3234">
        <f t="shared" si="31"/>
        <v>0</v>
      </c>
      <c r="P220" s="3062">
        <f t="shared" si="31"/>
        <v>4.8209454725005735E-3</v>
      </c>
      <c r="Q220" s="3062">
        <f t="shared" si="31"/>
        <v>0</v>
      </c>
      <c r="R220" s="3062">
        <f t="shared" si="31"/>
        <v>5.2030205410648143E-2</v>
      </c>
      <c r="S220" s="3218">
        <f t="shared" si="31"/>
        <v>0</v>
      </c>
      <c r="T220" s="3121">
        <f t="shared" si="31"/>
        <v>27.25</v>
      </c>
      <c r="U220" s="3218">
        <f t="shared" si="31"/>
        <v>0</v>
      </c>
      <c r="V220" s="3062">
        <f t="shared" si="31"/>
        <v>4.6982758620689652E-2</v>
      </c>
      <c r="X220" s="874"/>
      <c r="Y220" s="3218"/>
      <c r="Z220" s="3218"/>
      <c r="AA220" s="3218"/>
    </row>
    <row r="221" spans="2:27">
      <c r="B221" s="3218" t="str">
        <f t="shared" ref="B221:V222" si="32">B21</f>
        <v>מבנה חקלאי</v>
      </c>
      <c r="C221" s="3218">
        <f t="shared" si="32"/>
        <v>0</v>
      </c>
      <c r="D221" s="3234">
        <f t="shared" si="32"/>
        <v>1.91</v>
      </c>
      <c r="E221" s="3234">
        <f t="shared" si="32"/>
        <v>0</v>
      </c>
      <c r="F221" s="3234">
        <f t="shared" si="32"/>
        <v>2</v>
      </c>
      <c r="G221" s="3234">
        <f t="shared" si="32"/>
        <v>0</v>
      </c>
      <c r="H221" s="3234">
        <f t="shared" si="32"/>
        <v>43.654450261780106</v>
      </c>
      <c r="I221" s="3234">
        <f t="shared" si="32"/>
        <v>0</v>
      </c>
      <c r="J221" s="3234">
        <f t="shared" si="32"/>
        <v>41.5</v>
      </c>
      <c r="K221" s="3234">
        <f t="shared" si="32"/>
        <v>0</v>
      </c>
      <c r="L221" s="3237">
        <f t="shared" si="32"/>
        <v>83.38</v>
      </c>
      <c r="M221" s="3237">
        <f t="shared" si="32"/>
        <v>0</v>
      </c>
      <c r="N221" s="3237">
        <f t="shared" si="32"/>
        <v>83</v>
      </c>
      <c r="O221" s="3234">
        <f t="shared" si="32"/>
        <v>0</v>
      </c>
      <c r="P221" s="3062">
        <f t="shared" si="32"/>
        <v>5.1914464139279658E-2</v>
      </c>
      <c r="Q221" s="3062">
        <f t="shared" si="32"/>
        <v>0</v>
      </c>
      <c r="R221" s="3062">
        <f t="shared" si="32"/>
        <v>4.5783132530119938E-3</v>
      </c>
      <c r="S221" s="3218">
        <f t="shared" si="32"/>
        <v>0</v>
      </c>
      <c r="T221" s="3121">
        <f t="shared" si="32"/>
        <v>-9.000000000000008E-2</v>
      </c>
      <c r="U221" s="3218">
        <f t="shared" si="32"/>
        <v>0</v>
      </c>
      <c r="V221" s="3062">
        <f t="shared" si="32"/>
        <v>-4.500000000000004E-2</v>
      </c>
      <c r="X221" s="874"/>
      <c r="Y221" s="3218"/>
      <c r="Z221" s="3218"/>
      <c r="AA221" s="3218"/>
    </row>
    <row r="222" spans="2:27">
      <c r="B222" s="3218" t="str">
        <f t="shared" si="32"/>
        <v>נכסים אחרים</v>
      </c>
      <c r="C222" s="3218">
        <f t="shared" si="32"/>
        <v>0</v>
      </c>
      <c r="D222" s="3234">
        <f t="shared" si="32"/>
        <v>192.76</v>
      </c>
      <c r="E222" s="3234">
        <f t="shared" si="32"/>
        <v>0</v>
      </c>
      <c r="F222" s="3234">
        <f t="shared" si="32"/>
        <v>180</v>
      </c>
      <c r="G222" s="3234">
        <f t="shared" si="32"/>
        <v>0</v>
      </c>
      <c r="H222" s="3234">
        <f t="shared" si="32"/>
        <v>109.64681469184478</v>
      </c>
      <c r="I222" s="3234">
        <f t="shared" si="32"/>
        <v>0</v>
      </c>
      <c r="J222" s="3234">
        <f t="shared" si="32"/>
        <v>111.36666666666666</v>
      </c>
      <c r="K222" s="3234">
        <f t="shared" si="32"/>
        <v>0</v>
      </c>
      <c r="L222" s="3237">
        <f t="shared" si="32"/>
        <v>21135.52</v>
      </c>
      <c r="M222" s="3237">
        <f t="shared" si="32"/>
        <v>0</v>
      </c>
      <c r="N222" s="3237">
        <f t="shared" si="32"/>
        <v>20046</v>
      </c>
      <c r="O222" s="3234">
        <f t="shared" si="32"/>
        <v>0</v>
      </c>
      <c r="P222" s="3062">
        <f t="shared" si="32"/>
        <v>-1.5443148531773828E-2</v>
      </c>
      <c r="Q222" s="3062">
        <f t="shared" si="32"/>
        <v>0</v>
      </c>
      <c r="R222" s="3062">
        <f t="shared" si="32"/>
        <v>5.4350992716751492E-2</v>
      </c>
      <c r="S222" s="3218">
        <f t="shared" si="32"/>
        <v>0</v>
      </c>
      <c r="T222" s="3121">
        <f t="shared" si="32"/>
        <v>12.759999999999991</v>
      </c>
      <c r="U222" s="3218">
        <f t="shared" si="32"/>
        <v>0</v>
      </c>
      <c r="V222" s="3062">
        <f t="shared" si="32"/>
        <v>7.0888888888888835E-2</v>
      </c>
      <c r="X222" s="874"/>
      <c r="Y222" s="3218"/>
      <c r="Z222" s="3218"/>
      <c r="AA222" s="3218"/>
    </row>
    <row r="223" spans="2:27" ht="13.8" thickBot="1">
      <c r="B223" s="179" t="str">
        <f t="shared" ref="B223" si="33" xml:space="preserve"> IF(OR(D223&lt;&gt;0,F223&lt;&gt;0,H223&lt;&gt;0,J223&lt;&gt;0,L223&lt;&gt;0,N223&lt;&gt;0,P223&lt;&gt;0,R223&lt;&gt;0,T223&lt;&gt;0,V223&lt;&gt;0),B23,0)</f>
        <v>סה"כ</v>
      </c>
      <c r="C223" s="179">
        <f t="shared" ref="C223:V223" si="34">C23</f>
        <v>0</v>
      </c>
      <c r="D223" s="3120">
        <f t="shared" si="34"/>
        <v>7197.17</v>
      </c>
      <c r="E223" s="3234">
        <f t="shared" si="34"/>
        <v>0</v>
      </c>
      <c r="F223" s="3120">
        <f t="shared" si="34"/>
        <v>7157.98</v>
      </c>
      <c r="G223" s="3234">
        <f t="shared" si="34"/>
        <v>0</v>
      </c>
      <c r="H223" s="3235">
        <f t="shared" si="34"/>
        <v>73.447034042547287</v>
      </c>
      <c r="I223" s="3234">
        <f t="shared" si="34"/>
        <v>0</v>
      </c>
      <c r="J223" s="3235">
        <f t="shared" si="34"/>
        <v>72.677906336703941</v>
      </c>
      <c r="K223" s="3234">
        <f t="shared" si="34"/>
        <v>0</v>
      </c>
      <c r="L223" s="3238">
        <f t="shared" si="34"/>
        <v>528610.79</v>
      </c>
      <c r="M223" s="3237">
        <f t="shared" si="34"/>
        <v>0</v>
      </c>
      <c r="N223" s="3238">
        <f t="shared" si="34"/>
        <v>520227</v>
      </c>
      <c r="O223" s="3234">
        <f t="shared" si="34"/>
        <v>0</v>
      </c>
      <c r="P223" s="3063">
        <f t="shared" si="34"/>
        <v>1.0582689356516579E-2</v>
      </c>
      <c r="Q223" s="3062">
        <f t="shared" si="34"/>
        <v>0</v>
      </c>
      <c r="R223" s="3063">
        <f t="shared" si="34"/>
        <v>1.6115637981112162E-2</v>
      </c>
      <c r="S223" s="179">
        <f t="shared" si="34"/>
        <v>0</v>
      </c>
      <c r="T223" s="3241">
        <f t="shared" si="34"/>
        <v>39.190000000000509</v>
      </c>
      <c r="U223" s="179">
        <f t="shared" si="34"/>
        <v>0</v>
      </c>
      <c r="V223" s="3063">
        <f t="shared" si="34"/>
        <v>5.4750083124010564E-3</v>
      </c>
    </row>
    <row r="224" spans="2:27" ht="13.8" thickTop="1">
      <c r="B224" s="179">
        <f t="shared" ref="B224:V224" si="35">B24</f>
        <v>0</v>
      </c>
      <c r="C224" s="179">
        <f t="shared" si="35"/>
        <v>0</v>
      </c>
      <c r="D224" s="179">
        <f t="shared" si="35"/>
        <v>0</v>
      </c>
      <c r="E224" s="179">
        <f t="shared" si="35"/>
        <v>0</v>
      </c>
      <c r="F224" s="179">
        <f t="shared" si="35"/>
        <v>0</v>
      </c>
      <c r="G224" s="179">
        <f t="shared" si="35"/>
        <v>0</v>
      </c>
      <c r="H224" s="179">
        <f t="shared" si="35"/>
        <v>0</v>
      </c>
      <c r="I224" s="179">
        <f t="shared" si="35"/>
        <v>0</v>
      </c>
      <c r="J224" s="179">
        <f t="shared" si="35"/>
        <v>0</v>
      </c>
      <c r="K224" s="179">
        <f t="shared" si="35"/>
        <v>0</v>
      </c>
      <c r="L224" s="3237">
        <f t="shared" si="35"/>
        <v>0</v>
      </c>
      <c r="M224" s="3237">
        <f t="shared" si="35"/>
        <v>0</v>
      </c>
      <c r="N224" s="3237">
        <f t="shared" si="35"/>
        <v>0</v>
      </c>
      <c r="O224" s="179">
        <f t="shared" si="35"/>
        <v>0</v>
      </c>
      <c r="P224" s="3062">
        <f t="shared" si="35"/>
        <v>0</v>
      </c>
      <c r="Q224" s="3062">
        <f t="shared" si="35"/>
        <v>0</v>
      </c>
      <c r="R224" s="3062">
        <f t="shared" si="35"/>
        <v>0</v>
      </c>
      <c r="S224" s="179">
        <f t="shared" si="35"/>
        <v>0</v>
      </c>
      <c r="T224" s="3121">
        <f t="shared" si="35"/>
        <v>0</v>
      </c>
      <c r="U224" s="179">
        <f t="shared" si="35"/>
        <v>0</v>
      </c>
      <c r="V224" s="3062">
        <f t="shared" si="35"/>
        <v>0</v>
      </c>
    </row>
    <row r="225" spans="2:22">
      <c r="B225" s="179">
        <f xml:space="preserve"> IF(OR(D225&lt;&gt;0,F225&lt;&gt;0,H225&lt;&gt;0,J225&lt;&gt;0,L225&lt;&gt;0,N225&lt;&gt;0,P225&lt;&gt;0,R225&lt;&gt;0,T225&lt;&gt;0,V225&lt;&gt;0),B25,0)</f>
        <v>0</v>
      </c>
      <c r="C225" s="179">
        <f t="shared" ref="C225:V225" si="36">C25</f>
        <v>0</v>
      </c>
      <c r="D225" s="1606">
        <f t="shared" si="36"/>
        <v>0</v>
      </c>
      <c r="E225" s="3234">
        <f t="shared" si="36"/>
        <v>0</v>
      </c>
      <c r="F225" s="1606">
        <f t="shared" si="36"/>
        <v>0</v>
      </c>
      <c r="G225" s="3234">
        <f t="shared" si="36"/>
        <v>0</v>
      </c>
      <c r="H225" s="3236">
        <f t="shared" si="36"/>
        <v>0</v>
      </c>
      <c r="I225" s="3234">
        <f t="shared" si="36"/>
        <v>0</v>
      </c>
      <c r="J225" s="3236">
        <f t="shared" si="36"/>
        <v>0</v>
      </c>
      <c r="K225" s="3234">
        <f t="shared" si="36"/>
        <v>0</v>
      </c>
      <c r="L225" s="3239">
        <f t="shared" si="36"/>
        <v>0</v>
      </c>
      <c r="M225" s="3237">
        <f t="shared" si="36"/>
        <v>0</v>
      </c>
      <c r="N225" s="3239">
        <f t="shared" si="36"/>
        <v>0</v>
      </c>
      <c r="O225" s="179">
        <f t="shared" si="36"/>
        <v>0</v>
      </c>
      <c r="P225" s="3062">
        <f t="shared" si="36"/>
        <v>0</v>
      </c>
      <c r="Q225" s="3062">
        <f t="shared" si="36"/>
        <v>0</v>
      </c>
      <c r="R225" s="3062">
        <f t="shared" si="36"/>
        <v>0</v>
      </c>
      <c r="S225" s="179">
        <f t="shared" si="36"/>
        <v>0</v>
      </c>
      <c r="T225" s="3240">
        <f t="shared" si="36"/>
        <v>0</v>
      </c>
      <c r="U225" s="179">
        <f t="shared" si="36"/>
        <v>0</v>
      </c>
      <c r="V225" s="3062">
        <f t="shared" si="36"/>
        <v>0</v>
      </c>
    </row>
    <row r="226" spans="2:22">
      <c r="B226" s="179">
        <f t="shared" ref="B226:V226" si="37">B26</f>
        <v>0</v>
      </c>
      <c r="C226" s="179">
        <f t="shared" si="37"/>
        <v>0</v>
      </c>
      <c r="D226" s="179">
        <f t="shared" si="37"/>
        <v>0</v>
      </c>
      <c r="E226" s="179">
        <f t="shared" si="37"/>
        <v>0</v>
      </c>
      <c r="F226" s="179">
        <f t="shared" si="37"/>
        <v>0</v>
      </c>
      <c r="G226" s="179">
        <f t="shared" si="37"/>
        <v>0</v>
      </c>
      <c r="H226" s="179">
        <f t="shared" si="37"/>
        <v>0</v>
      </c>
      <c r="I226" s="179">
        <f t="shared" si="37"/>
        <v>0</v>
      </c>
      <c r="J226" s="179">
        <f t="shared" si="37"/>
        <v>0</v>
      </c>
      <c r="K226" s="179">
        <f t="shared" si="37"/>
        <v>0</v>
      </c>
      <c r="L226" s="179">
        <f t="shared" si="37"/>
        <v>0</v>
      </c>
      <c r="M226" s="179">
        <f t="shared" si="37"/>
        <v>0</v>
      </c>
      <c r="N226" s="179">
        <f t="shared" si="37"/>
        <v>0</v>
      </c>
      <c r="O226" s="179">
        <f t="shared" si="37"/>
        <v>0</v>
      </c>
      <c r="P226" s="179">
        <f t="shared" si="37"/>
        <v>0</v>
      </c>
      <c r="Q226" s="179">
        <f t="shared" si="37"/>
        <v>0</v>
      </c>
      <c r="R226" s="179">
        <f t="shared" si="37"/>
        <v>0</v>
      </c>
      <c r="S226" s="179">
        <f t="shared" si="37"/>
        <v>0</v>
      </c>
      <c r="T226" s="179">
        <f t="shared" si="37"/>
        <v>0</v>
      </c>
      <c r="U226" s="179">
        <f t="shared" si="37"/>
        <v>0</v>
      </c>
      <c r="V226" s="179">
        <f t="shared" si="37"/>
        <v>0</v>
      </c>
    </row>
    <row r="227" spans="2:22">
      <c r="B227" s="179">
        <f t="shared" ref="B227:V227" si="38">B27</f>
        <v>0</v>
      </c>
      <c r="C227" s="179">
        <f t="shared" si="38"/>
        <v>0</v>
      </c>
      <c r="D227" s="179">
        <f t="shared" si="38"/>
        <v>0</v>
      </c>
      <c r="E227" s="179">
        <f t="shared" si="38"/>
        <v>0</v>
      </c>
      <c r="F227" s="179">
        <f t="shared" si="38"/>
        <v>0</v>
      </c>
      <c r="G227" s="179">
        <f t="shared" si="38"/>
        <v>0</v>
      </c>
      <c r="H227" s="179">
        <f t="shared" si="38"/>
        <v>0</v>
      </c>
      <c r="I227" s="179">
        <f t="shared" si="38"/>
        <v>0</v>
      </c>
      <c r="J227" s="179">
        <f t="shared" si="38"/>
        <v>0</v>
      </c>
      <c r="K227" s="179">
        <f t="shared" si="38"/>
        <v>0</v>
      </c>
      <c r="L227" s="179">
        <f t="shared" si="38"/>
        <v>0</v>
      </c>
      <c r="M227" s="179">
        <f t="shared" si="38"/>
        <v>0</v>
      </c>
      <c r="N227" s="179">
        <f t="shared" si="38"/>
        <v>0</v>
      </c>
      <c r="O227" s="179">
        <f t="shared" si="38"/>
        <v>0</v>
      </c>
      <c r="P227" s="179">
        <f t="shared" si="38"/>
        <v>0</v>
      </c>
      <c r="Q227" s="179">
        <f t="shared" si="38"/>
        <v>0</v>
      </c>
      <c r="R227" s="179">
        <f t="shared" si="38"/>
        <v>0</v>
      </c>
      <c r="S227" s="179">
        <f t="shared" si="38"/>
        <v>0</v>
      </c>
      <c r="T227" s="179">
        <f t="shared" si="38"/>
        <v>0</v>
      </c>
      <c r="U227" s="179">
        <f t="shared" si="38"/>
        <v>0</v>
      </c>
      <c r="V227" s="179">
        <f t="shared" si="38"/>
        <v>0</v>
      </c>
    </row>
    <row r="228" spans="2:22">
      <c r="B228" s="179">
        <f t="shared" ref="B228:V228" si="39">B28</f>
        <v>0</v>
      </c>
      <c r="C228" s="179">
        <f t="shared" si="39"/>
        <v>0</v>
      </c>
      <c r="D228" s="179">
        <f t="shared" si="39"/>
        <v>0</v>
      </c>
      <c r="E228" s="179">
        <f t="shared" si="39"/>
        <v>0</v>
      </c>
      <c r="F228" s="179">
        <f t="shared" si="39"/>
        <v>0</v>
      </c>
      <c r="G228" s="179">
        <f t="shared" si="39"/>
        <v>0</v>
      </c>
      <c r="H228" s="179">
        <f t="shared" si="39"/>
        <v>0</v>
      </c>
      <c r="I228" s="179">
        <f t="shared" si="39"/>
        <v>0</v>
      </c>
      <c r="J228" s="179">
        <f t="shared" si="39"/>
        <v>0</v>
      </c>
      <c r="K228" s="179">
        <f t="shared" si="39"/>
        <v>0</v>
      </c>
      <c r="L228" s="179">
        <f t="shared" si="39"/>
        <v>0</v>
      </c>
      <c r="M228" s="179">
        <f t="shared" si="39"/>
        <v>0</v>
      </c>
      <c r="N228" s="179">
        <f t="shared" si="39"/>
        <v>0</v>
      </c>
      <c r="O228" s="179">
        <f t="shared" si="39"/>
        <v>0</v>
      </c>
      <c r="P228" s="179">
        <f t="shared" si="39"/>
        <v>0</v>
      </c>
      <c r="Q228" s="179">
        <f t="shared" si="39"/>
        <v>0</v>
      </c>
      <c r="R228" s="179">
        <f t="shared" si="39"/>
        <v>0</v>
      </c>
      <c r="S228" s="179">
        <f t="shared" si="39"/>
        <v>0</v>
      </c>
      <c r="T228" s="179">
        <f t="shared" si="39"/>
        <v>0</v>
      </c>
      <c r="U228" s="179">
        <f t="shared" si="39"/>
        <v>0</v>
      </c>
      <c r="V228" s="179">
        <f t="shared" si="39"/>
        <v>0</v>
      </c>
    </row>
    <row r="229" spans="2:22">
      <c r="B229" s="179" t="str">
        <f t="shared" ref="B229:V229" si="40">B29</f>
        <v>הערה:</v>
      </c>
      <c r="C229" s="179">
        <f t="shared" si="40"/>
        <v>0</v>
      </c>
      <c r="D229" s="179">
        <f t="shared" si="40"/>
        <v>0</v>
      </c>
      <c r="E229" s="179">
        <f t="shared" si="40"/>
        <v>0</v>
      </c>
      <c r="F229" s="179">
        <f t="shared" si="40"/>
        <v>0</v>
      </c>
      <c r="G229" s="179">
        <f t="shared" si="40"/>
        <v>0</v>
      </c>
      <c r="H229" s="179">
        <f t="shared" si="40"/>
        <v>0</v>
      </c>
      <c r="I229" s="179">
        <f t="shared" si="40"/>
        <v>0</v>
      </c>
      <c r="J229" s="179">
        <f t="shared" si="40"/>
        <v>0</v>
      </c>
      <c r="K229" s="179">
        <f t="shared" si="40"/>
        <v>0</v>
      </c>
      <c r="L229" s="179">
        <f t="shared" si="40"/>
        <v>0</v>
      </c>
      <c r="M229" s="179">
        <f t="shared" si="40"/>
        <v>0</v>
      </c>
      <c r="N229" s="179">
        <f t="shared" si="40"/>
        <v>0</v>
      </c>
      <c r="O229" s="179">
        <f t="shared" si="40"/>
        <v>0</v>
      </c>
      <c r="P229" s="179">
        <f t="shared" si="40"/>
        <v>0</v>
      </c>
      <c r="Q229" s="179">
        <f t="shared" si="40"/>
        <v>0</v>
      </c>
      <c r="R229" s="179">
        <f t="shared" si="40"/>
        <v>0</v>
      </c>
      <c r="S229" s="179">
        <f t="shared" si="40"/>
        <v>0</v>
      </c>
      <c r="T229" s="179">
        <f t="shared" si="40"/>
        <v>0</v>
      </c>
      <c r="U229" s="179">
        <f t="shared" si="40"/>
        <v>0</v>
      </c>
      <c r="V229" s="179">
        <f t="shared" si="40"/>
        <v>0</v>
      </c>
    </row>
    <row r="230" spans="2:22">
      <c r="B230" s="3710" t="str">
        <f>B30</f>
        <v>טבלת השטחים והחיובים נערכה לתחילת השנה ואינה כוללת את השינוי בסכומי המס בשל הצמדה ואת הגידול הטבעי בחיובי ארנונה אשר חל במהלך השנה כתוצאה מתוספת נכסים.</v>
      </c>
      <c r="C230" s="3710"/>
      <c r="D230" s="3710"/>
      <c r="E230" s="3710"/>
      <c r="F230" s="3710"/>
      <c r="G230" s="3710"/>
      <c r="H230" s="3710"/>
      <c r="I230" s="3710"/>
      <c r="J230" s="3710"/>
      <c r="K230" s="3710"/>
      <c r="L230" s="3710"/>
      <c r="M230" s="3710"/>
      <c r="N230" s="3710"/>
      <c r="O230" s="3710"/>
      <c r="P230" s="3710"/>
      <c r="Q230" s="3710"/>
      <c r="R230" s="3710"/>
      <c r="S230" s="3710"/>
      <c r="T230" s="3710"/>
      <c r="U230" s="3710"/>
      <c r="V230" s="3710"/>
    </row>
    <row r="231" spans="2:22" ht="13.8">
      <c r="B231" s="3153" t="str">
        <f>IF(B31&lt;&gt;"(***)",B31,"")</f>
        <v>תעשיה- כולל מלאכה מאחר ואין במערכת הגביה פיצול בין תעשיה למלאכה. כמו כן, אין במערכת הגביה סיווג לנכסי מגורים שאינם בשימוש.</v>
      </c>
      <c r="C231" s="889"/>
      <c r="E231" s="860"/>
      <c r="G231" s="890"/>
      <c r="I231" s="890"/>
      <c r="J231" s="890"/>
      <c r="K231" s="890"/>
      <c r="L231" s="890"/>
      <c r="M231" s="890"/>
      <c r="N231" s="890"/>
      <c r="O231" s="890"/>
      <c r="P231" s="890"/>
      <c r="Q231" s="890"/>
      <c r="R231" s="890"/>
      <c r="S231" s="890"/>
      <c r="T231" s="890"/>
      <c r="U231" s="890"/>
      <c r="V231" s="890"/>
    </row>
    <row r="232" spans="2:22" ht="13.8">
      <c r="B232" s="889"/>
      <c r="C232" s="889"/>
      <c r="E232" s="860"/>
      <c r="G232" s="890"/>
      <c r="I232" s="890"/>
      <c r="J232" s="890"/>
      <c r="K232" s="890"/>
      <c r="L232" s="890"/>
      <c r="M232" s="890"/>
      <c r="N232" s="890"/>
      <c r="O232" s="890"/>
      <c r="P232" s="890"/>
      <c r="Q232" s="890"/>
      <c r="R232" s="890"/>
      <c r="S232" s="890"/>
      <c r="T232" s="890"/>
      <c r="U232" s="890"/>
      <c r="V232" s="890"/>
    </row>
    <row r="233" spans="2:22" ht="13.8">
      <c r="B233" s="889"/>
      <c r="C233" s="889"/>
      <c r="E233" s="860"/>
      <c r="G233" s="890"/>
      <c r="I233" s="890"/>
      <c r="J233" s="890"/>
      <c r="K233" s="890"/>
      <c r="L233" s="890"/>
      <c r="M233" s="890"/>
      <c r="N233" s="890"/>
      <c r="O233" s="890"/>
      <c r="P233" s="890"/>
      <c r="Q233" s="890"/>
      <c r="R233" s="890"/>
      <c r="S233" s="890"/>
      <c r="T233" s="890"/>
      <c r="U233" s="890"/>
      <c r="V233" s="890"/>
    </row>
    <row r="234" spans="2:22" ht="13.8">
      <c r="B234" s="889"/>
      <c r="C234" s="889"/>
      <c r="E234" s="860"/>
      <c r="G234" s="890"/>
      <c r="I234" s="890"/>
      <c r="J234" s="890"/>
      <c r="K234" s="890"/>
      <c r="L234" s="890"/>
      <c r="M234" s="890"/>
      <c r="N234" s="890"/>
      <c r="O234" s="890"/>
      <c r="P234" s="890"/>
      <c r="Q234" s="890"/>
      <c r="R234" s="890"/>
      <c r="S234" s="890"/>
      <c r="T234" s="890"/>
      <c r="U234" s="890"/>
      <c r="V234" s="890"/>
    </row>
    <row r="235" spans="2:22" ht="13.8">
      <c r="B235" s="889"/>
      <c r="C235" s="889"/>
      <c r="E235" s="860"/>
      <c r="G235" s="890"/>
      <c r="I235" s="890"/>
      <c r="J235" s="890"/>
      <c r="K235" s="890"/>
      <c r="L235" s="890"/>
      <c r="M235" s="890"/>
      <c r="N235" s="890"/>
      <c r="O235" s="890"/>
      <c r="P235" s="890"/>
      <c r="Q235" s="890"/>
      <c r="R235" s="890"/>
      <c r="S235" s="890"/>
      <c r="T235" s="890"/>
      <c r="U235" s="890"/>
      <c r="V235" s="890"/>
    </row>
    <row r="236" spans="2:22" ht="13.8">
      <c r="B236" s="889"/>
      <c r="C236" s="889"/>
      <c r="E236" s="860"/>
      <c r="G236" s="890"/>
      <c r="I236" s="890"/>
      <c r="J236" s="890"/>
      <c r="K236" s="890"/>
      <c r="L236" s="890"/>
      <c r="M236" s="890"/>
      <c r="N236" s="890"/>
      <c r="O236" s="890"/>
      <c r="P236" s="890"/>
      <c r="Q236" s="890"/>
      <c r="R236" s="890"/>
      <c r="S236" s="890"/>
      <c r="T236" s="890"/>
      <c r="U236" s="890"/>
      <c r="V236" s="890"/>
    </row>
    <row r="237" spans="2:22" ht="13.8">
      <c r="B237" s="889"/>
      <c r="C237" s="889"/>
      <c r="E237" s="860"/>
      <c r="G237" s="890"/>
      <c r="I237" s="890"/>
      <c r="J237" s="890"/>
      <c r="K237" s="890"/>
      <c r="L237" s="890"/>
      <c r="M237" s="890"/>
      <c r="N237" s="890"/>
      <c r="O237" s="890"/>
      <c r="P237" s="890"/>
      <c r="Q237" s="890"/>
      <c r="R237" s="890"/>
      <c r="S237" s="890"/>
      <c r="T237" s="890"/>
      <c r="U237" s="890"/>
      <c r="V237" s="890"/>
    </row>
    <row r="238" spans="2:22" ht="13.8">
      <c r="B238" s="889"/>
      <c r="C238" s="889"/>
      <c r="E238" s="860"/>
      <c r="G238" s="890"/>
      <c r="I238" s="890"/>
      <c r="J238" s="890"/>
      <c r="K238" s="890"/>
      <c r="L238" s="890"/>
      <c r="M238" s="890"/>
      <c r="N238" s="890"/>
      <c r="O238" s="890"/>
      <c r="P238" s="890"/>
      <c r="Q238" s="890"/>
      <c r="R238" s="890"/>
      <c r="S238" s="890"/>
      <c r="T238" s="890"/>
      <c r="U238" s="890"/>
      <c r="V238" s="890"/>
    </row>
    <row r="239" spans="2:22" ht="13.8">
      <c r="B239" s="889"/>
      <c r="C239" s="889"/>
      <c r="E239" s="860"/>
      <c r="G239" s="890"/>
      <c r="I239" s="890"/>
      <c r="J239" s="890"/>
      <c r="K239" s="890"/>
      <c r="L239" s="890"/>
      <c r="M239" s="890"/>
      <c r="N239" s="890"/>
      <c r="O239" s="890"/>
      <c r="P239" s="890"/>
      <c r="Q239" s="890"/>
      <c r="R239" s="890"/>
      <c r="S239" s="890"/>
      <c r="T239" s="890"/>
      <c r="U239" s="890"/>
      <c r="V239" s="890"/>
    </row>
    <row r="240" spans="2:22" ht="13.8">
      <c r="B240" s="889"/>
      <c r="C240" s="889"/>
      <c r="E240" s="860"/>
      <c r="G240" s="890"/>
      <c r="I240" s="890"/>
      <c r="J240" s="890"/>
      <c r="K240" s="890"/>
      <c r="L240" s="890"/>
      <c r="M240" s="890"/>
      <c r="N240" s="890"/>
      <c r="O240" s="890"/>
      <c r="P240" s="890"/>
      <c r="Q240" s="890"/>
      <c r="R240" s="890"/>
      <c r="S240" s="890"/>
      <c r="T240" s="890"/>
      <c r="U240" s="890"/>
      <c r="V240" s="890"/>
    </row>
    <row r="241" spans="2:22" ht="13.8">
      <c r="B241" s="889"/>
      <c r="C241" s="889"/>
      <c r="E241" s="860"/>
      <c r="G241" s="890"/>
      <c r="I241" s="890"/>
      <c r="J241" s="890"/>
      <c r="K241" s="890"/>
      <c r="L241" s="890"/>
      <c r="M241" s="890"/>
      <c r="N241" s="890"/>
      <c r="O241" s="890"/>
      <c r="P241" s="890"/>
      <c r="Q241" s="890"/>
      <c r="R241" s="890"/>
      <c r="S241" s="890"/>
      <c r="T241" s="890"/>
      <c r="U241" s="890"/>
      <c r="V241" s="890"/>
    </row>
    <row r="242" spans="2:22" ht="13.8">
      <c r="B242" s="889"/>
      <c r="C242" s="889"/>
      <c r="E242" s="860"/>
      <c r="G242" s="890"/>
      <c r="I242" s="890"/>
      <c r="J242" s="890"/>
      <c r="K242" s="890"/>
      <c r="L242" s="890"/>
      <c r="M242" s="890"/>
      <c r="N242" s="890"/>
      <c r="O242" s="890"/>
      <c r="P242" s="890"/>
      <c r="Q242" s="890"/>
      <c r="R242" s="890"/>
      <c r="S242" s="890"/>
      <c r="T242" s="890"/>
      <c r="U242" s="890"/>
      <c r="V242" s="890"/>
    </row>
    <row r="243" spans="2:22" ht="13.8">
      <c r="B243" s="889"/>
      <c r="C243" s="889"/>
      <c r="E243" s="860"/>
      <c r="G243" s="890"/>
      <c r="I243" s="890"/>
      <c r="J243" s="890"/>
      <c r="K243" s="890"/>
      <c r="L243" s="890"/>
      <c r="M243" s="890"/>
      <c r="N243" s="890"/>
      <c r="O243" s="890"/>
      <c r="P243" s="890"/>
      <c r="Q243" s="890"/>
      <c r="R243" s="890"/>
      <c r="S243" s="890"/>
      <c r="T243" s="890"/>
      <c r="U243" s="890"/>
      <c r="V243" s="890"/>
    </row>
    <row r="244" spans="2:22" ht="13.8">
      <c r="B244" s="889"/>
      <c r="C244" s="889"/>
      <c r="E244" s="860"/>
      <c r="G244" s="890"/>
      <c r="I244" s="890"/>
      <c r="J244" s="890"/>
      <c r="K244" s="890"/>
      <c r="L244" s="890"/>
      <c r="M244" s="890"/>
      <c r="N244" s="890"/>
      <c r="O244" s="890"/>
      <c r="P244" s="890"/>
      <c r="Q244" s="890"/>
      <c r="R244" s="890"/>
      <c r="S244" s="890"/>
      <c r="T244" s="890"/>
      <c r="U244" s="890"/>
      <c r="V244" s="890"/>
    </row>
    <row r="245" spans="2:22" ht="13.8">
      <c r="B245" s="889"/>
      <c r="C245" s="889"/>
      <c r="E245" s="860"/>
      <c r="G245" s="890"/>
      <c r="I245" s="890"/>
      <c r="J245" s="890"/>
      <c r="K245" s="890"/>
      <c r="L245" s="890"/>
      <c r="M245" s="890"/>
      <c r="N245" s="890"/>
      <c r="O245" s="890"/>
      <c r="P245" s="890"/>
      <c r="Q245" s="890"/>
      <c r="R245" s="890"/>
      <c r="S245" s="890"/>
      <c r="T245" s="890"/>
      <c r="U245" s="890"/>
      <c r="V245" s="890"/>
    </row>
    <row r="246" spans="2:22" ht="13.8">
      <c r="B246" s="889"/>
      <c r="C246" s="889"/>
      <c r="E246" s="860"/>
      <c r="G246" s="890"/>
      <c r="I246" s="890"/>
      <c r="J246" s="890"/>
      <c r="K246" s="890"/>
      <c r="L246" s="890"/>
      <c r="M246" s="890"/>
      <c r="N246" s="890"/>
      <c r="O246" s="890"/>
      <c r="P246" s="890"/>
      <c r="Q246" s="890"/>
      <c r="R246" s="890"/>
      <c r="S246" s="890"/>
      <c r="T246" s="890"/>
      <c r="U246" s="890"/>
      <c r="V246" s="890"/>
    </row>
    <row r="247" spans="2:22" ht="13.8">
      <c r="B247" s="889"/>
      <c r="C247" s="889"/>
      <c r="E247" s="860"/>
      <c r="G247" s="890"/>
      <c r="I247" s="890"/>
      <c r="J247" s="890"/>
      <c r="K247" s="890"/>
      <c r="L247" s="890"/>
      <c r="M247" s="890"/>
      <c r="N247" s="890"/>
      <c r="O247" s="890"/>
      <c r="P247" s="890"/>
      <c r="Q247" s="890"/>
      <c r="R247" s="890"/>
      <c r="S247" s="890"/>
      <c r="T247" s="890"/>
      <c r="U247" s="890"/>
      <c r="V247" s="890"/>
    </row>
    <row r="248" spans="2:22" ht="13.8">
      <c r="B248" s="889"/>
      <c r="C248" s="889"/>
      <c r="E248" s="860"/>
      <c r="G248" s="891"/>
      <c r="I248" s="891"/>
      <c r="J248" s="891"/>
      <c r="K248" s="891"/>
      <c r="L248" s="891"/>
      <c r="M248" s="891"/>
      <c r="N248" s="891"/>
      <c r="O248" s="891"/>
      <c r="P248" s="891"/>
      <c r="Q248" s="891"/>
      <c r="R248" s="891"/>
      <c r="S248" s="891"/>
      <c r="T248" s="891"/>
      <c r="U248" s="891"/>
      <c r="V248" s="891"/>
    </row>
    <row r="249" spans="2:22" ht="13.8">
      <c r="B249" s="889"/>
      <c r="C249" s="889"/>
      <c r="E249" s="860"/>
      <c r="G249" s="891"/>
      <c r="I249" s="891"/>
      <c r="J249" s="891"/>
      <c r="K249" s="891"/>
      <c r="L249" s="891"/>
      <c r="M249" s="891"/>
      <c r="N249" s="891"/>
      <c r="O249" s="891"/>
      <c r="P249" s="891"/>
      <c r="Q249" s="891"/>
      <c r="R249" s="891"/>
      <c r="S249" s="891"/>
      <c r="T249" s="891"/>
      <c r="U249" s="891"/>
      <c r="V249" s="891"/>
    </row>
    <row r="250" spans="2:22" ht="13.8">
      <c r="B250" s="889"/>
      <c r="C250" s="889"/>
      <c r="E250" s="860"/>
      <c r="G250" s="891"/>
      <c r="I250" s="891"/>
      <c r="J250" s="891"/>
      <c r="K250" s="891"/>
      <c r="L250" s="891"/>
      <c r="M250" s="891"/>
      <c r="N250" s="891"/>
      <c r="O250" s="891"/>
      <c r="P250" s="891"/>
      <c r="Q250" s="891"/>
      <c r="R250" s="891"/>
      <c r="S250" s="891"/>
      <c r="T250" s="891"/>
      <c r="U250" s="891"/>
      <c r="V250" s="891"/>
    </row>
    <row r="251" spans="2:22" ht="13.8">
      <c r="B251" s="889"/>
      <c r="C251" s="889"/>
      <c r="E251" s="860"/>
      <c r="G251" s="890"/>
      <c r="I251" s="890"/>
      <c r="J251" s="890"/>
      <c r="K251" s="890"/>
      <c r="L251" s="890"/>
      <c r="M251" s="890"/>
      <c r="N251" s="890"/>
      <c r="O251" s="890"/>
      <c r="P251" s="890"/>
      <c r="Q251" s="890"/>
      <c r="R251" s="890"/>
      <c r="S251" s="890"/>
      <c r="T251" s="890"/>
      <c r="U251" s="890"/>
      <c r="V251" s="890"/>
    </row>
    <row r="252" spans="2:22" ht="13.8">
      <c r="B252" s="889"/>
      <c r="C252" s="889"/>
      <c r="E252" s="860"/>
      <c r="G252" s="890"/>
      <c r="I252" s="890"/>
      <c r="J252" s="890"/>
      <c r="K252" s="890"/>
      <c r="L252" s="890"/>
      <c r="M252" s="890"/>
      <c r="N252" s="890"/>
      <c r="O252" s="890"/>
      <c r="P252" s="890"/>
      <c r="Q252" s="890"/>
      <c r="R252" s="890"/>
      <c r="S252" s="890"/>
      <c r="T252" s="890"/>
      <c r="U252" s="890"/>
      <c r="V252" s="890"/>
    </row>
    <row r="253" spans="2:22" ht="13.8">
      <c r="B253" s="889"/>
      <c r="C253" s="889"/>
      <c r="E253" s="860"/>
      <c r="G253" s="890"/>
      <c r="I253" s="890"/>
      <c r="J253" s="890"/>
      <c r="K253" s="890"/>
      <c r="L253" s="890"/>
      <c r="M253" s="890"/>
      <c r="N253" s="890"/>
      <c r="O253" s="890"/>
      <c r="P253" s="890"/>
      <c r="Q253" s="890"/>
      <c r="R253" s="890"/>
      <c r="S253" s="890"/>
      <c r="T253" s="890"/>
      <c r="U253" s="890"/>
      <c r="V253" s="890"/>
    </row>
    <row r="254" spans="2:22" ht="13.8">
      <c r="B254" s="889"/>
      <c r="C254" s="889"/>
      <c r="E254" s="860"/>
      <c r="G254" s="894"/>
      <c r="I254" s="894"/>
      <c r="J254" s="894"/>
      <c r="K254" s="894"/>
      <c r="L254" s="894"/>
      <c r="M254" s="894"/>
      <c r="N254" s="894"/>
      <c r="O254" s="894"/>
      <c r="P254" s="894"/>
      <c r="Q254" s="894"/>
      <c r="R254" s="894"/>
      <c r="S254" s="894"/>
      <c r="T254" s="894"/>
      <c r="U254" s="894"/>
      <c r="V254" s="894"/>
    </row>
    <row r="255" spans="2:22" ht="13.8">
      <c r="B255" s="889"/>
      <c r="C255" s="889"/>
      <c r="E255" s="860"/>
      <c r="G255" s="890"/>
      <c r="I255" s="890"/>
      <c r="J255" s="890"/>
      <c r="K255" s="890"/>
      <c r="L255" s="890"/>
      <c r="M255" s="890"/>
      <c r="N255" s="890"/>
      <c r="O255" s="890"/>
      <c r="P255" s="890"/>
      <c r="Q255" s="890"/>
      <c r="R255" s="890"/>
      <c r="S255" s="890"/>
      <c r="T255" s="890"/>
      <c r="U255" s="890"/>
      <c r="V255" s="890"/>
    </row>
    <row r="256" spans="2:22" ht="13.8">
      <c r="B256" s="892"/>
      <c r="C256" s="892"/>
      <c r="E256" s="860"/>
      <c r="G256" s="890"/>
      <c r="I256" s="890"/>
      <c r="J256" s="890"/>
      <c r="K256" s="890"/>
      <c r="L256" s="890"/>
      <c r="M256" s="890"/>
      <c r="N256" s="890"/>
      <c r="O256" s="890"/>
      <c r="P256" s="890"/>
      <c r="Q256" s="890"/>
      <c r="R256" s="890"/>
      <c r="S256" s="890"/>
      <c r="T256" s="890"/>
      <c r="U256" s="890"/>
      <c r="V256" s="890"/>
    </row>
    <row r="257" spans="2:22" ht="13.8">
      <c r="B257" s="889"/>
      <c r="C257" s="889"/>
      <c r="E257" s="860"/>
      <c r="G257" s="890"/>
      <c r="I257" s="890"/>
      <c r="J257" s="890"/>
      <c r="K257" s="890"/>
      <c r="L257" s="890"/>
      <c r="M257" s="890"/>
      <c r="N257" s="890"/>
      <c r="O257" s="890"/>
      <c r="P257" s="890"/>
      <c r="Q257" s="890"/>
      <c r="R257" s="890"/>
      <c r="S257" s="890"/>
      <c r="T257" s="890"/>
      <c r="U257" s="890"/>
      <c r="V257" s="890"/>
    </row>
    <row r="258" spans="2:22" ht="13.8">
      <c r="B258" s="889"/>
      <c r="C258" s="889"/>
      <c r="E258" s="860"/>
      <c r="G258" s="890"/>
      <c r="I258" s="890"/>
      <c r="J258" s="890"/>
      <c r="K258" s="890"/>
      <c r="L258" s="890"/>
      <c r="M258" s="890"/>
      <c r="N258" s="890"/>
      <c r="O258" s="890"/>
      <c r="P258" s="890"/>
      <c r="Q258" s="890"/>
      <c r="R258" s="890"/>
      <c r="S258" s="890"/>
      <c r="T258" s="890"/>
      <c r="U258" s="890"/>
      <c r="V258" s="890"/>
    </row>
    <row r="259" spans="2:22" ht="13.8">
      <c r="B259" s="889"/>
      <c r="C259" s="889"/>
      <c r="E259" s="860"/>
      <c r="G259" s="890"/>
      <c r="I259" s="890"/>
      <c r="J259" s="890"/>
      <c r="K259" s="890"/>
      <c r="L259" s="890"/>
      <c r="M259" s="890"/>
      <c r="N259" s="890"/>
      <c r="O259" s="890"/>
      <c r="P259" s="890"/>
      <c r="Q259" s="890"/>
      <c r="R259" s="890"/>
      <c r="S259" s="890"/>
      <c r="T259" s="890"/>
      <c r="U259" s="890"/>
      <c r="V259" s="890"/>
    </row>
    <row r="260" spans="2:22" ht="13.8">
      <c r="B260" s="889"/>
      <c r="C260" s="889"/>
      <c r="E260" s="860"/>
      <c r="G260" s="895"/>
      <c r="I260" s="895"/>
      <c r="J260" s="895"/>
      <c r="K260" s="895"/>
      <c r="L260" s="895"/>
      <c r="M260" s="895"/>
      <c r="N260" s="895"/>
      <c r="O260" s="895"/>
      <c r="P260" s="895"/>
      <c r="Q260" s="895"/>
      <c r="R260" s="895"/>
      <c r="S260" s="895"/>
      <c r="T260" s="895"/>
      <c r="U260" s="895"/>
      <c r="V260" s="895"/>
    </row>
    <row r="261" spans="2:22" ht="13.8">
      <c r="B261" s="889"/>
      <c r="C261" s="889"/>
      <c r="E261" s="860"/>
      <c r="G261" s="890"/>
      <c r="I261" s="890"/>
      <c r="J261" s="890"/>
      <c r="K261" s="890"/>
      <c r="L261" s="890"/>
      <c r="M261" s="890"/>
      <c r="N261" s="890"/>
      <c r="O261" s="890"/>
      <c r="P261" s="890"/>
      <c r="Q261" s="890"/>
      <c r="R261" s="890"/>
      <c r="S261" s="890"/>
      <c r="T261" s="890"/>
      <c r="U261" s="890"/>
      <c r="V261" s="890"/>
    </row>
    <row r="262" spans="2:22" ht="13.8">
      <c r="B262" s="893"/>
      <c r="C262" s="893"/>
      <c r="E262" s="860"/>
      <c r="G262" s="896"/>
      <c r="I262" s="896"/>
      <c r="J262" s="896"/>
      <c r="K262" s="896"/>
      <c r="L262" s="896"/>
      <c r="M262" s="896"/>
      <c r="N262" s="896"/>
      <c r="O262" s="896"/>
      <c r="P262" s="896"/>
      <c r="Q262" s="896"/>
      <c r="R262" s="896"/>
      <c r="S262" s="896"/>
      <c r="T262" s="896"/>
      <c r="U262" s="896"/>
      <c r="V262" s="896"/>
    </row>
    <row r="263" spans="2:22">
      <c r="E263" s="860"/>
    </row>
    <row r="264" spans="2:22">
      <c r="E264" s="860"/>
    </row>
    <row r="265" spans="2:22">
      <c r="E265" s="860"/>
    </row>
    <row r="266" spans="2:22">
      <c r="E266" s="860"/>
    </row>
    <row r="267" spans="2:22">
      <c r="E267" s="860"/>
    </row>
    <row r="268" spans="2:22">
      <c r="E268" s="860"/>
    </row>
    <row r="269" spans="2:22">
      <c r="E269" s="860"/>
    </row>
  </sheetData>
  <sheetProtection password="83C1" sheet="1" objects="1" scenarios="1"/>
  <mergeCells count="20">
    <mergeCell ref="B203:V203"/>
    <mergeCell ref="B204:V204"/>
    <mergeCell ref="B193:F193"/>
    <mergeCell ref="B194:F194"/>
    <mergeCell ref="B195:F195"/>
    <mergeCell ref="B202:V202"/>
    <mergeCell ref="D6:F6"/>
    <mergeCell ref="V6:V7"/>
    <mergeCell ref="H6:J6"/>
    <mergeCell ref="L6:N6"/>
    <mergeCell ref="P6:R6"/>
    <mergeCell ref="T6:T7"/>
    <mergeCell ref="B230:V230"/>
    <mergeCell ref="D207:F207"/>
    <mergeCell ref="H207:J207"/>
    <mergeCell ref="L207:N207"/>
    <mergeCell ref="P207:R207"/>
    <mergeCell ref="T207:T208"/>
    <mergeCell ref="V207:V208"/>
    <mergeCell ref="P208:Q208"/>
  </mergeCells>
  <phoneticPr fontId="4" type="noConversion"/>
  <hyperlinks>
    <hyperlink ref="A4" location="'תוכן הענינים'!A1" tooltip="לחץ להצגת גליון תוכן הענינים" display="הצג תוכן ענינים"/>
  </hyperlinks>
  <printOptions horizontalCentered="1"/>
  <pageMargins left="0.23622047244094491" right="0.23622047244094491" top="0.39370078740157483" bottom="0.15748031496062992" header="0.15748031496062992" footer="0.15748031496062992"/>
  <pageSetup paperSize="27" orientation="landscape" blackAndWhite="1" horizontalDpi="300" verticalDpi="300" r:id="rId1"/>
  <headerFooter alignWithMargins="0">
    <oddHeader>&amp;L&amp;8&amp;A</oddHeader>
    <oddFooter>&amp;L &amp;C&amp;8&amp;P</oddFooter>
  </headerFooter>
  <rowBreaks count="1" manualBreakCount="1">
    <brk id="35" max="16383" man="1"/>
  </rowBreaks>
  <colBreaks count="1" manualBreakCount="1">
    <brk id="22" min="201" max="224" man="1"/>
  </colBreaks>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4"/>
  <dimension ref="A1:N36"/>
  <sheetViews>
    <sheetView showGridLines="0" showRowColHeaders="0" showZeros="0" rightToLeft="1" showOutlineSymbols="0" zoomScale="85" workbookViewId="0">
      <selection activeCell="A3" sqref="A3"/>
    </sheetView>
  </sheetViews>
  <sheetFormatPr defaultColWidth="9.109375" defaultRowHeight="13.2"/>
  <cols>
    <col min="1" max="1" width="31.33203125" style="570" customWidth="1"/>
    <col min="2" max="3" width="12" style="570" customWidth="1"/>
    <col min="4" max="4" width="11.88671875" style="570" customWidth="1"/>
    <col min="5" max="5" width="12" style="570" customWidth="1"/>
    <col min="6" max="6" width="12.6640625" style="570" customWidth="1"/>
    <col min="7" max="9" width="12" style="570" customWidth="1"/>
    <col min="10" max="10" width="11.88671875" style="570" customWidth="1"/>
    <col min="11" max="11" width="12.5546875" style="570" customWidth="1"/>
    <col min="12" max="12" width="12" style="570" customWidth="1"/>
    <col min="13" max="16384" width="9.109375" style="570"/>
  </cols>
  <sheetData>
    <row r="1" spans="1:14" ht="27" customHeight="1">
      <c r="A1" s="567"/>
      <c r="B1" s="567"/>
      <c r="C1" s="567"/>
      <c r="D1" s="567"/>
      <c r="E1" s="3394" t="str">
        <f>'הגדרות כלליות'!D6</f>
        <v>עירית הרצליה</v>
      </c>
      <c r="F1" s="3394"/>
      <c r="G1" s="3394"/>
      <c r="H1" s="3394"/>
      <c r="I1" s="3394"/>
      <c r="J1" s="3394"/>
      <c r="K1" s="3394"/>
      <c r="L1" s="567"/>
      <c r="M1" s="567"/>
      <c r="N1" s="569"/>
    </row>
    <row r="2" spans="1:14" ht="27" customHeight="1">
      <c r="A2" s="567"/>
      <c r="B2" s="567"/>
      <c r="C2" s="567"/>
      <c r="D2" s="567"/>
      <c r="E2" s="3394" t="s">
        <v>1455</v>
      </c>
      <c r="F2" s="3394"/>
      <c r="G2" s="3394"/>
      <c r="H2" s="3394"/>
      <c r="I2" s="3394"/>
      <c r="J2" s="3394"/>
      <c r="K2" s="3394"/>
      <c r="L2" s="567"/>
      <c r="M2" s="567"/>
      <c r="N2" s="569"/>
    </row>
    <row r="3" spans="1:14" ht="27.75" customHeight="1">
      <c r="A3" s="7" t="s">
        <v>339</v>
      </c>
      <c r="B3" s="571"/>
      <c r="C3" s="571"/>
      <c r="D3" s="571"/>
      <c r="E3" s="571"/>
      <c r="F3" s="571"/>
      <c r="G3" s="571"/>
      <c r="H3" s="571"/>
      <c r="I3" s="571"/>
      <c r="J3" s="571"/>
      <c r="K3" s="571"/>
      <c r="L3" s="571"/>
      <c r="M3" s="571"/>
      <c r="N3" s="569"/>
    </row>
    <row r="4" spans="1:14" s="615" customFormat="1" ht="30" customHeight="1">
      <c r="A4" s="2500" t="s">
        <v>962</v>
      </c>
      <c r="B4" s="2500" t="str">
        <f>CONCATENATE("תקן כוח אדם ייעודי ",Shana)</f>
        <v>תקן כוח אדם ייעודי 2015</v>
      </c>
      <c r="C4" s="2500" t="str">
        <f>CONCATENATE("תקן כוח אדם רשותי ",Shana)</f>
        <v>תקן כוח אדם רשותי 2015</v>
      </c>
      <c r="D4" s="2500" t="str">
        <f>CONCATENATE("ממוצע משרות ",'הגדרות כלליות'!D10)</f>
        <v>ממוצע משרות 2015</v>
      </c>
      <c r="E4" s="2500" t="str">
        <f>CONCATENATE("תקציב ",'הגדרות כלליות'!D10)</f>
        <v>תקציב 2015</v>
      </c>
      <c r="F4" s="2500" t="str">
        <f>CONCATENATE("ביצוע ",'הגדרות כלליות'!D10)</f>
        <v>ביצוע 2015</v>
      </c>
      <c r="G4" s="2500" t="str">
        <f>CONCATENATE("ביצוע ",'הגדרות כלליות'!D10)</f>
        <v>ביצוע 2015</v>
      </c>
      <c r="H4" s="2500" t="str">
        <f>CONCATENATE("תקן כוח אדם ",'הגדרות כלליות'!D12)</f>
        <v>תקן כוח אדם 2014</v>
      </c>
      <c r="I4" s="2500" t="str">
        <f>CONCATENATE("ממוצע משרות ",'הגדרות כלליות'!D12)</f>
        <v>ממוצע משרות 2014</v>
      </c>
      <c r="J4" s="2500" t="str">
        <f>CONCATENATE("תקציב ",'הגדרות כלליות'!D12)</f>
        <v>תקציב 2014</v>
      </c>
      <c r="K4" s="2500" t="str">
        <f>CONCATENATE("ביצוע ",'הגדרות כלליות'!D12)</f>
        <v>ביצוע 2014</v>
      </c>
      <c r="L4" s="2501" t="str">
        <f>CONCATENATE("ביצוע ",'הגדרות כלליות'!D12)</f>
        <v>ביצוע 2014</v>
      </c>
      <c r="M4" s="367"/>
      <c r="N4" s="2405"/>
    </row>
    <row r="5" spans="1:14" ht="14.25" customHeight="1">
      <c r="A5" s="1890"/>
      <c r="B5" s="583"/>
      <c r="C5" s="583"/>
      <c r="D5" s="583"/>
      <c r="E5" s="583"/>
      <c r="F5" s="583" t="s">
        <v>203</v>
      </c>
      <c r="G5" s="583" t="s">
        <v>1456</v>
      </c>
      <c r="H5" s="583"/>
      <c r="I5" s="583"/>
      <c r="J5" s="583"/>
      <c r="K5" s="583" t="s">
        <v>203</v>
      </c>
      <c r="L5" s="2124" t="s">
        <v>1456</v>
      </c>
      <c r="M5" s="571"/>
      <c r="N5" s="569"/>
    </row>
    <row r="6" spans="1:14">
      <c r="A6" s="2640" t="s">
        <v>726</v>
      </c>
      <c r="B6" s="2503">
        <v>707.7</v>
      </c>
      <c r="C6" s="2503">
        <v>949.28</v>
      </c>
      <c r="D6" s="2503">
        <v>943.96</v>
      </c>
      <c r="E6" s="783">
        <v>154130</v>
      </c>
      <c r="F6" s="783">
        <v>147277</v>
      </c>
      <c r="G6" s="2504">
        <v>147397</v>
      </c>
      <c r="H6" s="2503">
        <v>906</v>
      </c>
      <c r="I6" s="2503">
        <v>886</v>
      </c>
      <c r="J6" s="783">
        <v>141586</v>
      </c>
      <c r="K6" s="779">
        <v>139341</v>
      </c>
      <c r="L6" s="2514">
        <v>142277</v>
      </c>
      <c r="M6" s="571"/>
      <c r="N6" s="569"/>
    </row>
    <row r="7" spans="1:14">
      <c r="A7" s="2640" t="s">
        <v>727</v>
      </c>
      <c r="B7" s="2503"/>
      <c r="C7" s="2503"/>
      <c r="D7" s="3273">
        <f>IF(G6&lt;&gt;0,G7/(G6/D6),0)</f>
        <v>0</v>
      </c>
      <c r="E7" s="783"/>
      <c r="F7" s="783"/>
      <c r="G7" s="2504"/>
      <c r="H7" s="2503"/>
      <c r="I7" s="2503"/>
      <c r="J7" s="783"/>
      <c r="K7" s="783"/>
      <c r="L7" s="2505"/>
      <c r="M7" s="571"/>
      <c r="N7" s="569"/>
    </row>
    <row r="8" spans="1:14">
      <c r="A8" s="2509" t="s">
        <v>728</v>
      </c>
      <c r="B8" s="2510">
        <f>SUM(B6:B7)</f>
        <v>707.7</v>
      </c>
      <c r="C8" s="2510">
        <f t="shared" ref="C8:L8" si="0">SUM(C6:C7)</f>
        <v>949.28</v>
      </c>
      <c r="D8" s="2510">
        <f t="shared" si="0"/>
        <v>943.96</v>
      </c>
      <c r="E8" s="1112">
        <f t="shared" si="0"/>
        <v>154130</v>
      </c>
      <c r="F8" s="1112">
        <f t="shared" si="0"/>
        <v>147277</v>
      </c>
      <c r="G8" s="1112">
        <f t="shared" si="0"/>
        <v>147397</v>
      </c>
      <c r="H8" s="2510">
        <f t="shared" si="0"/>
        <v>906</v>
      </c>
      <c r="I8" s="2510">
        <f t="shared" si="0"/>
        <v>886</v>
      </c>
      <c r="J8" s="1112">
        <f t="shared" si="0"/>
        <v>141586</v>
      </c>
      <c r="K8" s="1112">
        <f t="shared" si="0"/>
        <v>139341</v>
      </c>
      <c r="L8" s="2511">
        <f t="shared" si="0"/>
        <v>142277</v>
      </c>
      <c r="M8" s="571"/>
      <c r="N8" s="569"/>
    </row>
    <row r="9" spans="1:14">
      <c r="A9" s="2640" t="s">
        <v>729</v>
      </c>
      <c r="B9" s="2512">
        <v>92.32</v>
      </c>
      <c r="C9" s="2512">
        <v>109.46</v>
      </c>
      <c r="D9" s="2512">
        <v>103.96</v>
      </c>
      <c r="E9" s="779">
        <v>19149</v>
      </c>
      <c r="F9" s="779">
        <v>18209</v>
      </c>
      <c r="G9" s="2513">
        <v>18216</v>
      </c>
      <c r="H9" s="2512">
        <v>103</v>
      </c>
      <c r="I9" s="2512">
        <v>96</v>
      </c>
      <c r="J9" s="779">
        <v>17140</v>
      </c>
      <c r="K9" s="779">
        <v>16804</v>
      </c>
      <c r="L9" s="2514">
        <v>16990</v>
      </c>
      <c r="M9" s="571"/>
      <c r="N9" s="569"/>
    </row>
    <row r="10" spans="1:14">
      <c r="A10" s="2640" t="s">
        <v>595</v>
      </c>
      <c r="B10" s="2503"/>
      <c r="C10" s="2503"/>
      <c r="D10" s="3273">
        <f>IF(G9&lt;&gt;0,G10/(G9/D9),0)</f>
        <v>0</v>
      </c>
      <c r="E10" s="783"/>
      <c r="F10" s="783"/>
      <c r="G10" s="2504"/>
      <c r="H10" s="2503"/>
      <c r="I10" s="2503"/>
      <c r="J10" s="783"/>
      <c r="K10" s="783"/>
      <c r="L10" s="2505"/>
      <c r="M10" s="571"/>
      <c r="N10" s="569"/>
    </row>
    <row r="11" spans="1:14">
      <c r="A11" s="2509" t="s">
        <v>730</v>
      </c>
      <c r="B11" s="2510">
        <f>SUM(B9:B10)</f>
        <v>92.32</v>
      </c>
      <c r="C11" s="2510">
        <f t="shared" ref="C11:L11" si="1">SUM(C9:C10)</f>
        <v>109.46</v>
      </c>
      <c r="D11" s="2510">
        <f t="shared" si="1"/>
        <v>103.96</v>
      </c>
      <c r="E11" s="1112">
        <f t="shared" si="1"/>
        <v>19149</v>
      </c>
      <c r="F11" s="1112">
        <f t="shared" si="1"/>
        <v>18209</v>
      </c>
      <c r="G11" s="1112">
        <f t="shared" si="1"/>
        <v>18216</v>
      </c>
      <c r="H11" s="2510">
        <f t="shared" si="1"/>
        <v>103</v>
      </c>
      <c r="I11" s="2510">
        <f t="shared" si="1"/>
        <v>96</v>
      </c>
      <c r="J11" s="1112">
        <f t="shared" si="1"/>
        <v>17140</v>
      </c>
      <c r="K11" s="1112">
        <f t="shared" si="1"/>
        <v>16804</v>
      </c>
      <c r="L11" s="2511">
        <f t="shared" si="1"/>
        <v>16990</v>
      </c>
      <c r="M11" s="571"/>
      <c r="N11" s="569"/>
    </row>
    <row r="12" spans="1:14">
      <c r="A12" s="2640" t="s">
        <v>401</v>
      </c>
      <c r="B12" s="2512">
        <v>1</v>
      </c>
      <c r="C12" s="2512">
        <v>14</v>
      </c>
      <c r="D12" s="2512">
        <v>14</v>
      </c>
      <c r="E12" s="779">
        <v>7010</v>
      </c>
      <c r="F12" s="779">
        <v>7010</v>
      </c>
      <c r="G12" s="2513">
        <v>7010</v>
      </c>
      <c r="H12" s="2512">
        <v>13</v>
      </c>
      <c r="I12" s="2512">
        <v>13</v>
      </c>
      <c r="J12" s="779">
        <v>6498</v>
      </c>
      <c r="K12" s="779">
        <v>6498</v>
      </c>
      <c r="L12" s="2514">
        <v>6498</v>
      </c>
      <c r="M12" s="571"/>
      <c r="N12" s="569"/>
    </row>
    <row r="13" spans="1:14">
      <c r="A13" s="2640" t="s">
        <v>402</v>
      </c>
      <c r="B13" s="2503"/>
      <c r="C13" s="2503"/>
      <c r="D13" s="3273">
        <f>IF(G12&lt;&gt;0,G13/(G12/D12),0)</f>
        <v>0</v>
      </c>
      <c r="E13" s="783"/>
      <c r="F13" s="783"/>
      <c r="G13" s="2504"/>
      <c r="H13" s="2503"/>
      <c r="I13" s="2503"/>
      <c r="J13" s="783"/>
      <c r="K13" s="783"/>
      <c r="L13" s="2505"/>
      <c r="M13" s="571"/>
      <c r="N13" s="569"/>
    </row>
    <row r="14" spans="1:14">
      <c r="A14" s="2509" t="s">
        <v>403</v>
      </c>
      <c r="B14" s="2510">
        <f>SUM(B12:B13)</f>
        <v>1</v>
      </c>
      <c r="C14" s="2510">
        <f t="shared" ref="C14:L14" si="2">SUM(C12:C13)</f>
        <v>14</v>
      </c>
      <c r="D14" s="2510">
        <f t="shared" si="2"/>
        <v>14</v>
      </c>
      <c r="E14" s="1112">
        <f t="shared" si="2"/>
        <v>7010</v>
      </c>
      <c r="F14" s="1112">
        <f t="shared" si="2"/>
        <v>7010</v>
      </c>
      <c r="G14" s="1112">
        <f t="shared" si="2"/>
        <v>7010</v>
      </c>
      <c r="H14" s="2510">
        <f t="shared" si="2"/>
        <v>13</v>
      </c>
      <c r="I14" s="2510">
        <f t="shared" si="2"/>
        <v>13</v>
      </c>
      <c r="J14" s="1112">
        <f t="shared" si="2"/>
        <v>6498</v>
      </c>
      <c r="K14" s="1112">
        <f t="shared" si="2"/>
        <v>6498</v>
      </c>
      <c r="L14" s="2511">
        <f t="shared" si="2"/>
        <v>6498</v>
      </c>
      <c r="M14" s="571"/>
      <c r="N14" s="569"/>
    </row>
    <row r="15" spans="1:14">
      <c r="A15" s="2640" t="s">
        <v>404</v>
      </c>
      <c r="B15" s="2512">
        <v>2.87</v>
      </c>
      <c r="C15" s="2512">
        <v>559.44000000000005</v>
      </c>
      <c r="D15" s="2512">
        <v>536.07000000000005</v>
      </c>
      <c r="E15" s="779">
        <v>100086</v>
      </c>
      <c r="F15" s="779">
        <v>93648</v>
      </c>
      <c r="G15" s="2513">
        <v>94491</v>
      </c>
      <c r="H15" s="2512">
        <v>532</v>
      </c>
      <c r="I15" s="2512">
        <v>523</v>
      </c>
      <c r="J15" s="779">
        <v>98150</v>
      </c>
      <c r="K15" s="779">
        <v>90412</v>
      </c>
      <c r="L15" s="2514">
        <v>88244</v>
      </c>
      <c r="M15" s="571"/>
      <c r="N15" s="569"/>
    </row>
    <row r="16" spans="1:14">
      <c r="A16" s="2640" t="s">
        <v>405</v>
      </c>
      <c r="B16" s="2503"/>
      <c r="C16" s="2503"/>
      <c r="D16" s="3273">
        <f>IF(G15&lt;&gt;0,G16/(G15/D15),0)</f>
        <v>0</v>
      </c>
      <c r="E16" s="783"/>
      <c r="F16" s="783"/>
      <c r="G16" s="2504"/>
      <c r="H16" s="2503"/>
      <c r="I16" s="2503"/>
      <c r="J16" s="783"/>
      <c r="K16" s="783"/>
      <c r="L16" s="2505"/>
      <c r="M16" s="571"/>
      <c r="N16" s="569"/>
    </row>
    <row r="17" spans="1:14">
      <c r="A17" s="2509" t="s">
        <v>406</v>
      </c>
      <c r="B17" s="2510">
        <f t="shared" ref="B17:L17" si="3">SUM(B15:B16)</f>
        <v>2.87</v>
      </c>
      <c r="C17" s="2510">
        <f t="shared" si="3"/>
        <v>559.44000000000005</v>
      </c>
      <c r="D17" s="2510">
        <f t="shared" si="3"/>
        <v>536.07000000000005</v>
      </c>
      <c r="E17" s="1112">
        <f t="shared" si="3"/>
        <v>100086</v>
      </c>
      <c r="F17" s="1112">
        <f t="shared" si="3"/>
        <v>93648</v>
      </c>
      <c r="G17" s="1112">
        <f t="shared" si="3"/>
        <v>94491</v>
      </c>
      <c r="H17" s="2510">
        <f t="shared" si="3"/>
        <v>532</v>
      </c>
      <c r="I17" s="2510">
        <f t="shared" si="3"/>
        <v>523</v>
      </c>
      <c r="J17" s="1112">
        <f t="shared" si="3"/>
        <v>98150</v>
      </c>
      <c r="K17" s="1112">
        <f t="shared" si="3"/>
        <v>90412</v>
      </c>
      <c r="L17" s="2511">
        <f t="shared" si="3"/>
        <v>88244</v>
      </c>
      <c r="M17" s="571"/>
      <c r="N17" s="569"/>
    </row>
    <row r="18" spans="1:14" ht="3.75" customHeight="1">
      <c r="A18" s="2950"/>
      <c r="B18" s="583"/>
      <c r="C18" s="583"/>
      <c r="D18" s="583"/>
      <c r="E18" s="583"/>
      <c r="F18" s="583"/>
      <c r="G18" s="583"/>
      <c r="H18" s="2502"/>
      <c r="I18" s="583"/>
      <c r="J18" s="583"/>
      <c r="K18" s="583"/>
      <c r="L18" s="590"/>
      <c r="M18" s="571"/>
      <c r="N18" s="569"/>
    </row>
    <row r="19" spans="1:14">
      <c r="A19" s="2509" t="s">
        <v>407</v>
      </c>
      <c r="B19" s="2510">
        <f t="shared" ref="B19:L19" si="4">B14+B17</f>
        <v>3.87</v>
      </c>
      <c r="C19" s="2510">
        <f t="shared" si="4"/>
        <v>573.44000000000005</v>
      </c>
      <c r="D19" s="2510">
        <f t="shared" si="4"/>
        <v>550.07000000000005</v>
      </c>
      <c r="E19" s="1112">
        <f t="shared" si="4"/>
        <v>107096</v>
      </c>
      <c r="F19" s="1112">
        <f t="shared" si="4"/>
        <v>100658</v>
      </c>
      <c r="G19" s="1112">
        <f t="shared" si="4"/>
        <v>101501</v>
      </c>
      <c r="H19" s="2510">
        <f t="shared" si="4"/>
        <v>545</v>
      </c>
      <c r="I19" s="2510">
        <f t="shared" si="4"/>
        <v>536</v>
      </c>
      <c r="J19" s="1112">
        <f t="shared" si="4"/>
        <v>104648</v>
      </c>
      <c r="K19" s="1112">
        <f t="shared" si="4"/>
        <v>96910</v>
      </c>
      <c r="L19" s="2511">
        <f t="shared" si="4"/>
        <v>94742</v>
      </c>
      <c r="M19" s="571"/>
      <c r="N19" s="569"/>
    </row>
    <row r="20" spans="1:14">
      <c r="A20" s="2950" t="s">
        <v>731</v>
      </c>
      <c r="B20" s="2512"/>
      <c r="C20" s="2512"/>
      <c r="D20" s="2512"/>
      <c r="E20" s="779"/>
      <c r="F20" s="779"/>
      <c r="G20" s="2513"/>
      <c r="H20" s="2512"/>
      <c r="I20" s="2512"/>
      <c r="J20" s="779"/>
      <c r="K20" s="779"/>
      <c r="L20" s="2514"/>
      <c r="M20" s="571"/>
      <c r="N20" s="569"/>
    </row>
    <row r="21" spans="1:14">
      <c r="A21" s="2950" t="s">
        <v>732</v>
      </c>
      <c r="B21" s="2506"/>
      <c r="C21" s="2506"/>
      <c r="D21" s="3273">
        <f>IF(G20&lt;&gt;0,G21/(G20/D20),0)</f>
        <v>0</v>
      </c>
      <c r="E21" s="788"/>
      <c r="F21" s="788"/>
      <c r="G21" s="2507"/>
      <c r="H21" s="2503"/>
      <c r="I21" s="2503"/>
      <c r="J21" s="788"/>
      <c r="K21" s="788"/>
      <c r="L21" s="2508"/>
      <c r="M21" s="571"/>
      <c r="N21" s="569"/>
    </row>
    <row r="22" spans="1:14">
      <c r="A22" s="2950" t="s">
        <v>616</v>
      </c>
      <c r="B22" s="2510">
        <f>SUM(B20:B21)</f>
        <v>0</v>
      </c>
      <c r="C22" s="2510">
        <f t="shared" ref="C22:L22" si="5">SUM(C20:C21)</f>
        <v>0</v>
      </c>
      <c r="D22" s="2510">
        <f t="shared" si="5"/>
        <v>0</v>
      </c>
      <c r="E22" s="1112">
        <f t="shared" si="5"/>
        <v>0</v>
      </c>
      <c r="F22" s="1112">
        <f t="shared" si="5"/>
        <v>0</v>
      </c>
      <c r="G22" s="1112">
        <f t="shared" si="5"/>
        <v>0</v>
      </c>
      <c r="H22" s="2510">
        <f t="shared" si="5"/>
        <v>0</v>
      </c>
      <c r="I22" s="2510">
        <f t="shared" si="5"/>
        <v>0</v>
      </c>
      <c r="J22" s="1112">
        <f t="shared" si="5"/>
        <v>0</v>
      </c>
      <c r="K22" s="1112">
        <f t="shared" si="5"/>
        <v>0</v>
      </c>
      <c r="L22" s="2511">
        <f t="shared" si="5"/>
        <v>0</v>
      </c>
      <c r="M22" s="571"/>
      <c r="N22" s="569"/>
    </row>
    <row r="23" spans="1:14" ht="3.75" customHeight="1">
      <c r="A23" s="2950"/>
      <c r="B23" s="583"/>
      <c r="C23" s="583"/>
      <c r="D23" s="583"/>
      <c r="E23" s="583"/>
      <c r="F23" s="583"/>
      <c r="G23" s="583"/>
      <c r="H23" s="2502"/>
      <c r="I23" s="583"/>
      <c r="J23" s="583"/>
      <c r="K23" s="583"/>
      <c r="L23" s="590"/>
      <c r="M23" s="571"/>
      <c r="N23" s="569"/>
    </row>
    <row r="24" spans="1:14">
      <c r="A24" s="2509" t="s">
        <v>782</v>
      </c>
      <c r="B24" s="2510">
        <f>B8+B11+B19+B22</f>
        <v>803.89</v>
      </c>
      <c r="C24" s="2510">
        <f>C8+C11+C19+C22</f>
        <v>1632.18</v>
      </c>
      <c r="D24" s="2510">
        <f t="shared" ref="D24:L24" si="6">D8+D11+D19+D22</f>
        <v>1597.9900000000002</v>
      </c>
      <c r="E24" s="1112">
        <f t="shared" si="6"/>
        <v>280375</v>
      </c>
      <c r="F24" s="1112">
        <f t="shared" si="6"/>
        <v>266144</v>
      </c>
      <c r="G24" s="1112">
        <f t="shared" si="6"/>
        <v>267114</v>
      </c>
      <c r="H24" s="2510">
        <f t="shared" si="6"/>
        <v>1554</v>
      </c>
      <c r="I24" s="2510">
        <f t="shared" si="6"/>
        <v>1518</v>
      </c>
      <c r="J24" s="1112">
        <f t="shared" si="6"/>
        <v>263374</v>
      </c>
      <c r="K24" s="1112">
        <f t="shared" si="6"/>
        <v>253055</v>
      </c>
      <c r="L24" s="2511">
        <f t="shared" si="6"/>
        <v>254009</v>
      </c>
      <c r="M24" s="571"/>
      <c r="N24" s="569"/>
    </row>
    <row r="25" spans="1:14">
      <c r="A25" s="1890" t="s">
        <v>1109</v>
      </c>
      <c r="B25" s="583"/>
      <c r="C25" s="2512"/>
      <c r="D25" s="2512">
        <v>3</v>
      </c>
      <c r="E25" s="779">
        <v>2150</v>
      </c>
      <c r="F25" s="779">
        <v>2046</v>
      </c>
      <c r="G25" s="2513">
        <v>2045</v>
      </c>
      <c r="H25" s="2512"/>
      <c r="I25" s="2512">
        <v>3</v>
      </c>
      <c r="J25" s="779">
        <v>2075</v>
      </c>
      <c r="K25" s="779">
        <v>1978</v>
      </c>
      <c r="L25" s="2514">
        <v>1957</v>
      </c>
      <c r="M25" s="571"/>
      <c r="N25" s="569"/>
    </row>
    <row r="26" spans="1:14" ht="13.5" customHeight="1">
      <c r="A26" s="1890" t="s">
        <v>968</v>
      </c>
      <c r="B26" s="583"/>
      <c r="C26" s="2503"/>
      <c r="D26" s="2503">
        <v>338.32</v>
      </c>
      <c r="E26" s="783">
        <v>50180</v>
      </c>
      <c r="F26" s="783">
        <v>46049</v>
      </c>
      <c r="G26" s="2504">
        <v>45198</v>
      </c>
      <c r="H26" s="2503"/>
      <c r="I26" s="2503">
        <v>323</v>
      </c>
      <c r="J26" s="783">
        <v>49750</v>
      </c>
      <c r="K26" s="783">
        <v>42318</v>
      </c>
      <c r="L26" s="2505">
        <v>43339</v>
      </c>
      <c r="M26" s="571"/>
      <c r="N26" s="569"/>
    </row>
    <row r="27" spans="1:14" ht="13.5" customHeight="1">
      <c r="A27" s="2640" t="s">
        <v>1362</v>
      </c>
      <c r="B27" s="583"/>
      <c r="C27" s="2951"/>
      <c r="D27" s="2512"/>
      <c r="E27" s="779"/>
      <c r="F27" s="779"/>
      <c r="G27" s="2513"/>
      <c r="H27" s="2512"/>
      <c r="I27" s="2512"/>
      <c r="J27" s="779"/>
      <c r="K27" s="779"/>
      <c r="L27" s="2514"/>
      <c r="M27" s="571"/>
      <c r="N27" s="569"/>
    </row>
    <row r="28" spans="1:14" ht="13.5" customHeight="1">
      <c r="A28" s="2640" t="s">
        <v>1363</v>
      </c>
      <c r="B28" s="583"/>
      <c r="C28" s="2951"/>
      <c r="D28" s="2503"/>
      <c r="E28" s="783"/>
      <c r="F28" s="783">
        <v>5545</v>
      </c>
      <c r="G28" s="2504">
        <v>5545</v>
      </c>
      <c r="H28" s="2503"/>
      <c r="I28" s="2503"/>
      <c r="J28" s="783"/>
      <c r="K28" s="783">
        <v>4468</v>
      </c>
      <c r="L28" s="2505">
        <v>4466</v>
      </c>
      <c r="M28" s="571"/>
      <c r="N28" s="569"/>
    </row>
    <row r="29" spans="1:14">
      <c r="A29" s="2447" t="s">
        <v>350</v>
      </c>
      <c r="B29" s="583"/>
      <c r="C29" s="2515"/>
      <c r="D29" s="2512"/>
      <c r="E29" s="779"/>
      <c r="F29" s="779"/>
      <c r="G29" s="2513"/>
      <c r="H29" s="2512"/>
      <c r="I29" s="2512"/>
      <c r="J29" s="779"/>
      <c r="K29" s="779"/>
      <c r="L29" s="2514"/>
      <c r="M29" s="571"/>
      <c r="N29" s="569"/>
    </row>
    <row r="30" spans="1:14" ht="13.8" thickBot="1">
      <c r="A30" s="2509" t="s">
        <v>733</v>
      </c>
      <c r="B30" s="583"/>
      <c r="C30" s="2516">
        <f>C24+C25+C26+C27+C28+C29</f>
        <v>1632.18</v>
      </c>
      <c r="D30" s="2516">
        <f t="shared" ref="D30:L30" si="7">D24+D25+D26+D27+D28+D29</f>
        <v>1939.3100000000002</v>
      </c>
      <c r="E30" s="2675">
        <f t="shared" si="7"/>
        <v>332705</v>
      </c>
      <c r="F30" s="2675">
        <f t="shared" si="7"/>
        <v>319784</v>
      </c>
      <c r="G30" s="2675">
        <f t="shared" si="7"/>
        <v>319902</v>
      </c>
      <c r="H30" s="2516">
        <f t="shared" si="7"/>
        <v>1554</v>
      </c>
      <c r="I30" s="2516">
        <f t="shared" si="7"/>
        <v>1844</v>
      </c>
      <c r="J30" s="2675">
        <f t="shared" si="7"/>
        <v>315199</v>
      </c>
      <c r="K30" s="2675">
        <f t="shared" si="7"/>
        <v>301819</v>
      </c>
      <c r="L30" s="2121">
        <f t="shared" si="7"/>
        <v>303771</v>
      </c>
      <c r="M30" s="571"/>
      <c r="N30" s="569"/>
    </row>
    <row r="31" spans="1:14" ht="23.25" customHeight="1" thickTop="1">
      <c r="A31" s="2105" t="s">
        <v>734</v>
      </c>
      <c r="B31" s="583"/>
      <c r="C31" s="2951"/>
      <c r="D31" s="2506"/>
      <c r="E31" s="788"/>
      <c r="F31" s="788"/>
      <c r="G31" s="2507"/>
      <c r="H31" s="2503"/>
      <c r="I31" s="2503"/>
      <c r="J31" s="788"/>
      <c r="K31" s="788"/>
      <c r="L31" s="2508"/>
      <c r="M31" s="571"/>
      <c r="N31" s="569"/>
    </row>
    <row r="32" spans="1:14" ht="13.8" thickBot="1">
      <c r="A32" s="2509" t="s">
        <v>1457</v>
      </c>
      <c r="B32" s="583"/>
      <c r="C32" s="2516">
        <f>C30+C31</f>
        <v>1632.18</v>
      </c>
      <c r="D32" s="2516">
        <f t="shared" ref="D32:L32" si="8">D30+D31</f>
        <v>1939.3100000000002</v>
      </c>
      <c r="E32" s="2675">
        <f t="shared" si="8"/>
        <v>332705</v>
      </c>
      <c r="F32" s="2675">
        <f t="shared" si="8"/>
        <v>319784</v>
      </c>
      <c r="G32" s="2675">
        <f t="shared" si="8"/>
        <v>319902</v>
      </c>
      <c r="H32" s="2516">
        <f t="shared" si="8"/>
        <v>1554</v>
      </c>
      <c r="I32" s="2516">
        <f t="shared" si="8"/>
        <v>1844</v>
      </c>
      <c r="J32" s="2675">
        <f t="shared" si="8"/>
        <v>315199</v>
      </c>
      <c r="K32" s="2675">
        <f t="shared" si="8"/>
        <v>301819</v>
      </c>
      <c r="L32" s="2121">
        <f t="shared" si="8"/>
        <v>303771</v>
      </c>
      <c r="M32" s="571"/>
      <c r="N32" s="569"/>
    </row>
    <row r="33" spans="1:14" ht="13.8" thickTop="1">
      <c r="A33" s="2509" t="s">
        <v>1458</v>
      </c>
      <c r="B33" s="583"/>
      <c r="C33" s="2517">
        <f>C32-(C8+C11)</f>
        <v>573.44000000000005</v>
      </c>
      <c r="D33" s="2517">
        <f t="shared" ref="D33:L33" si="9">D32-(D8+D11)</f>
        <v>891.3900000000001</v>
      </c>
      <c r="E33" s="2518">
        <f t="shared" si="9"/>
        <v>159426</v>
      </c>
      <c r="F33" s="2518">
        <f t="shared" si="9"/>
        <v>154298</v>
      </c>
      <c r="G33" s="2518">
        <f t="shared" si="9"/>
        <v>154289</v>
      </c>
      <c r="H33" s="2517">
        <f t="shared" si="9"/>
        <v>545</v>
      </c>
      <c r="I33" s="2517">
        <f t="shared" si="9"/>
        <v>862</v>
      </c>
      <c r="J33" s="2518">
        <f t="shared" si="9"/>
        <v>156473</v>
      </c>
      <c r="K33" s="2518">
        <f t="shared" si="9"/>
        <v>145674</v>
      </c>
      <c r="L33" s="2519">
        <f t="shared" si="9"/>
        <v>144504</v>
      </c>
      <c r="M33" s="571"/>
      <c r="N33" s="569"/>
    </row>
    <row r="34" spans="1:14">
      <c r="A34" s="607"/>
      <c r="B34" s="607"/>
      <c r="C34" s="607"/>
      <c r="D34" s="607"/>
      <c r="E34" s="607"/>
      <c r="F34" s="607"/>
      <c r="G34" s="607"/>
      <c r="H34" s="607"/>
      <c r="I34" s="607"/>
      <c r="J34" s="607"/>
      <c r="K34" s="607"/>
      <c r="L34" s="609"/>
      <c r="M34" s="571"/>
      <c r="N34" s="569"/>
    </row>
    <row r="35" spans="1:14" ht="13.8" thickBot="1">
      <c r="A35" s="571"/>
      <c r="B35" s="571"/>
      <c r="C35" s="571"/>
      <c r="D35" s="571"/>
      <c r="E35" s="571"/>
      <c r="F35" s="571"/>
      <c r="G35" s="571"/>
      <c r="H35" s="571"/>
      <c r="I35" s="571"/>
      <c r="J35" s="571"/>
      <c r="K35" s="571"/>
      <c r="L35" s="571"/>
      <c r="M35" s="571"/>
      <c r="N35" s="569"/>
    </row>
    <row r="36" spans="1:14" ht="13.8" thickTop="1">
      <c r="A36" s="611"/>
      <c r="B36" s="611"/>
      <c r="C36" s="611"/>
      <c r="D36" s="611"/>
      <c r="E36" s="611"/>
      <c r="F36" s="611"/>
      <c r="G36" s="611"/>
      <c r="H36" s="611"/>
      <c r="I36" s="611"/>
      <c r="J36" s="611"/>
      <c r="K36" s="611"/>
      <c r="L36" s="611"/>
      <c r="M36" s="611"/>
    </row>
  </sheetData>
  <sheetProtection password="83C1" sheet="1" objects="1" scenarios="1"/>
  <mergeCells count="2">
    <mergeCell ref="E1:K1"/>
    <mergeCell ref="E2:K2"/>
  </mergeCells>
  <phoneticPr fontId="4" type="noConversion"/>
  <hyperlinks>
    <hyperlink ref="A3" location="'תוכן הענינים'!A1" tooltip="לחץ להצגת גליון תוכן הענינים" display="הצג תוכן ענינים"/>
  </hyperlinks>
  <pageMargins left="0.34" right="0.57999999999999996" top="1" bottom="1" header="0.5" footer="0.5"/>
  <pageSetup paperSize="9" scale="85" orientation="landscape" blackAndWhite="1" r:id="rId1"/>
  <headerFooter alignWithMargins="0">
    <oddHeader>&amp;L&amp;8&amp;A</oddHeader>
    <oddFooter>&amp;C&amp;8&amp;P</odd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7"/>
  <dimension ref="A1:R1649"/>
  <sheetViews>
    <sheetView showGridLines="0" showRowColHeaders="0" showZeros="0" rightToLeft="1" showOutlineSymbols="0" zoomScaleNormal="100" zoomScaleSheetLayoutView="100" workbookViewId="0">
      <pane ySplit="7" topLeftCell="A252" activePane="bottomLeft" state="frozen"/>
      <selection activeCell="B13" sqref="B13"/>
      <selection pane="bottomLeft"/>
    </sheetView>
  </sheetViews>
  <sheetFormatPr defaultColWidth="9.109375" defaultRowHeight="13.2"/>
  <cols>
    <col min="1" max="1" width="4.33203125" style="2347" customWidth="1"/>
    <col min="2" max="2" width="14.44140625" style="2281" customWidth="1"/>
    <col min="3" max="3" width="23.6640625" style="2281" customWidth="1"/>
    <col min="4" max="4" width="5.109375" style="2281" customWidth="1"/>
    <col min="5" max="5" width="11.5546875" style="2348" customWidth="1"/>
    <col min="6" max="6" width="16" style="2281" customWidth="1"/>
    <col min="7" max="7" width="20.44140625" style="2281" customWidth="1"/>
    <col min="8" max="8" width="5.109375" style="2281" customWidth="1"/>
    <col min="9" max="9" width="11.6640625" style="2348" customWidth="1"/>
    <col min="10" max="10" width="7.6640625" style="2281" customWidth="1"/>
    <col min="11" max="11" width="9.109375" style="2348"/>
    <col min="12" max="12" width="26" style="2348" customWidth="1"/>
    <col min="13" max="13" width="8.33203125" style="2750" customWidth="1"/>
    <col min="14" max="14" width="8.6640625" style="2281" customWidth="1"/>
    <col min="15" max="15" width="22.6640625" style="2281" customWidth="1"/>
    <col min="16" max="16" width="25.88671875" style="2665" customWidth="1"/>
    <col min="17" max="17" width="0.109375" style="2281" customWidth="1"/>
    <col min="18" max="18" width="14.109375" style="2281" customWidth="1"/>
    <col min="19" max="19" width="9.109375" style="2281" customWidth="1"/>
    <col min="20" max="16384" width="9.109375" style="2281"/>
  </cols>
  <sheetData>
    <row r="1" spans="1:17" ht="15.75" customHeight="1">
      <c r="A1" s="7" t="s">
        <v>339</v>
      </c>
      <c r="B1" s="2278"/>
      <c r="C1" s="2278"/>
      <c r="D1" s="2278"/>
      <c r="E1" s="2279"/>
      <c r="F1" s="2278"/>
      <c r="G1" s="2278"/>
      <c r="H1" s="2278"/>
      <c r="I1" s="2279"/>
      <c r="J1" s="2278"/>
      <c r="K1" s="2279"/>
      <c r="L1" s="2279"/>
      <c r="M1" s="2742"/>
      <c r="N1" s="2280"/>
    </row>
    <row r="2" spans="1:17" ht="18" customHeight="1">
      <c r="A2" s="3721" t="str">
        <f>'הגדרות כלליות'!D6</f>
        <v>עירית הרצליה</v>
      </c>
      <c r="B2" s="3722"/>
      <c r="C2" s="3722"/>
      <c r="D2" s="3722"/>
      <c r="E2" s="3722"/>
      <c r="F2" s="3722"/>
      <c r="G2" s="3722"/>
      <c r="H2" s="3722"/>
      <c r="I2" s="3722"/>
      <c r="J2" s="3722"/>
      <c r="K2" s="3722"/>
      <c r="L2" s="3722"/>
      <c r="M2" s="3722"/>
      <c r="N2" s="2280"/>
    </row>
    <row r="3" spans="1:17" hidden="1">
      <c r="A3" s="2282"/>
      <c r="B3" s="2283" t="s">
        <v>1185</v>
      </c>
      <c r="C3" s="2283" t="s">
        <v>1186</v>
      </c>
      <c r="D3" s="2283"/>
      <c r="E3" s="2284" t="s">
        <v>1187</v>
      </c>
      <c r="F3" s="2283">
        <f>'הגדרות כלליות'!D10</f>
        <v>2015</v>
      </c>
      <c r="G3" s="2283">
        <f>'הגדרות כלליות'!D12</f>
        <v>2014</v>
      </c>
      <c r="H3" s="2283">
        <f>'הגדרות כלליות'!D14</f>
        <v>2013</v>
      </c>
      <c r="I3" s="2664">
        <v>1.33</v>
      </c>
      <c r="J3" s="2283"/>
      <c r="K3" s="2284"/>
      <c r="L3" s="2284"/>
      <c r="M3" s="2743"/>
      <c r="N3" s="2280"/>
    </row>
    <row r="4" spans="1:17" ht="18.75" customHeight="1">
      <c r="A4" s="3729" t="s">
        <v>1188</v>
      </c>
      <c r="B4" s="3729"/>
      <c r="C4" s="3729"/>
      <c r="D4" s="3729"/>
      <c r="E4" s="3729"/>
      <c r="F4" s="3729"/>
      <c r="G4" s="3729"/>
      <c r="H4" s="3729"/>
      <c r="I4" s="3729"/>
      <c r="J4" s="3729"/>
      <c r="K4" s="3729"/>
      <c r="L4" s="3729"/>
      <c r="M4" s="3729"/>
      <c r="N4" s="2280"/>
    </row>
    <row r="5" spans="1:17" ht="15.6">
      <c r="A5" s="2285"/>
      <c r="B5" s="3723" t="s">
        <v>1189</v>
      </c>
      <c r="C5" s="3723"/>
      <c r="D5" s="3723"/>
      <c r="E5" s="3723"/>
      <c r="F5" s="3723"/>
      <c r="G5" s="3723"/>
      <c r="H5" s="3723"/>
      <c r="I5" s="3723"/>
      <c r="J5" s="3723" t="s">
        <v>1190</v>
      </c>
      <c r="K5" s="3723"/>
      <c r="L5" s="3723"/>
      <c r="M5" s="3728"/>
      <c r="N5" s="2280"/>
    </row>
    <row r="6" spans="1:17" ht="12" customHeight="1">
      <c r="A6" s="2286"/>
      <c r="B6" s="3725" t="s">
        <v>1191</v>
      </c>
      <c r="C6" s="3726"/>
      <c r="D6" s="3726"/>
      <c r="E6" s="3727"/>
      <c r="F6" s="3725" t="s">
        <v>1192</v>
      </c>
      <c r="G6" s="3725"/>
      <c r="H6" s="3725"/>
      <c r="I6" s="3725"/>
      <c r="J6" s="2287"/>
      <c r="K6" s="2288"/>
      <c r="L6" s="2288"/>
      <c r="M6" s="2744"/>
      <c r="N6" s="2280"/>
    </row>
    <row r="7" spans="1:17">
      <c r="A7" s="2289"/>
      <c r="B7" s="2660" t="s">
        <v>1193</v>
      </c>
      <c r="C7" s="2660" t="s">
        <v>1194</v>
      </c>
      <c r="D7" s="2659" t="s">
        <v>1195</v>
      </c>
      <c r="E7" s="2661" t="s">
        <v>1196</v>
      </c>
      <c r="F7" s="2660" t="s">
        <v>1193</v>
      </c>
      <c r="G7" s="2660" t="s">
        <v>1194</v>
      </c>
      <c r="H7" s="2660" t="s">
        <v>1195</v>
      </c>
      <c r="I7" s="2658" t="s">
        <v>1196</v>
      </c>
      <c r="J7" s="2657" t="s">
        <v>1185</v>
      </c>
      <c r="K7" s="2658" t="s">
        <v>1197</v>
      </c>
      <c r="L7" s="2658" t="s">
        <v>1478</v>
      </c>
      <c r="M7" s="2659" t="s">
        <v>143</v>
      </c>
      <c r="N7" s="2280"/>
    </row>
    <row r="8" spans="1:17" ht="39" customHeight="1">
      <c r="A8" s="2290">
        <v>1</v>
      </c>
      <c r="B8" s="2291" t="s">
        <v>1198</v>
      </c>
      <c r="C8" s="2292" t="s">
        <v>1199</v>
      </c>
      <c r="D8" s="2291">
        <f>$F$3</f>
        <v>2015</v>
      </c>
      <c r="E8" s="2293">
        <f>'טופס 1 אקטיב'!F16</f>
        <v>438351</v>
      </c>
      <c r="F8" s="2294" t="s">
        <v>1200</v>
      </c>
      <c r="G8" s="2291" t="s">
        <v>1201</v>
      </c>
      <c r="H8" s="2291">
        <f>$F$3</f>
        <v>2015</v>
      </c>
      <c r="I8" s="2293">
        <f>'טופס 1 פאסיב'!G19</f>
        <v>438351</v>
      </c>
      <c r="J8" s="2295" t="str">
        <f t="shared" ref="J8:J13" si="0">IF(I8=E8,$B$3,"")</f>
        <v>תקין</v>
      </c>
      <c r="K8" s="2296" t="str">
        <f t="shared" ref="K8:K13" si="1">IF(E8=I8,"",E8-I8)</f>
        <v/>
      </c>
      <c r="L8" s="2728" t="str">
        <f>IF(E8=I8,"",IF(E8&gt;I8,Q8,P8))</f>
        <v/>
      </c>
      <c r="M8" s="2870"/>
      <c r="N8" s="2280"/>
      <c r="P8" s="2665" t="s">
        <v>784</v>
      </c>
      <c r="Q8" s="2872" t="s">
        <v>785</v>
      </c>
    </row>
    <row r="9" spans="1:17" ht="36.75" customHeight="1">
      <c r="A9" s="2297">
        <v>2</v>
      </c>
      <c r="B9" s="2298" t="s">
        <v>1198</v>
      </c>
      <c r="C9" s="2299" t="s">
        <v>1199</v>
      </c>
      <c r="D9" s="2298">
        <f>$G$3</f>
        <v>2014</v>
      </c>
      <c r="E9" s="2300">
        <f>'טופס 1 אקטיב'!H16</f>
        <v>304624</v>
      </c>
      <c r="F9" s="2301" t="s">
        <v>1200</v>
      </c>
      <c r="G9" s="2298" t="s">
        <v>1202</v>
      </c>
      <c r="H9" s="2298">
        <f>$G$3</f>
        <v>2014</v>
      </c>
      <c r="I9" s="2300">
        <f>'טופס 1 פאסיב'!I19</f>
        <v>304624</v>
      </c>
      <c r="J9" s="2302" t="str">
        <f t="shared" si="0"/>
        <v>תקין</v>
      </c>
      <c r="K9" s="2303" t="str">
        <f t="shared" si="1"/>
        <v/>
      </c>
      <c r="L9" s="2729" t="str">
        <f>IF(E9=I9,"",IF(E9&gt;I9,Q9,P9))</f>
        <v/>
      </c>
      <c r="M9" s="2746"/>
      <c r="N9" s="2280"/>
      <c r="P9" s="2665" t="s">
        <v>784</v>
      </c>
      <c r="Q9" s="2872" t="s">
        <v>785</v>
      </c>
    </row>
    <row r="10" spans="1:17" ht="39.6">
      <c r="A10" s="2297">
        <v>3</v>
      </c>
      <c r="B10" s="2298" t="s">
        <v>1198</v>
      </c>
      <c r="C10" s="2304" t="s">
        <v>1199</v>
      </c>
      <c r="D10" s="2298">
        <f>$F$3</f>
        <v>2015</v>
      </c>
      <c r="E10" s="2300">
        <f>'טופס 1 אקטיב'!F16</f>
        <v>438351</v>
      </c>
      <c r="F10" s="2305" t="s">
        <v>1203</v>
      </c>
      <c r="G10" s="3147" t="s">
        <v>1136</v>
      </c>
      <c r="H10" s="2298">
        <f>$F$3</f>
        <v>2015</v>
      </c>
      <c r="I10" s="2306">
        <v>438351</v>
      </c>
      <c r="J10" s="2302" t="str">
        <f t="shared" si="0"/>
        <v>תקין</v>
      </c>
      <c r="K10" s="2303" t="str">
        <f t="shared" si="1"/>
        <v/>
      </c>
      <c r="L10" s="2729" t="str">
        <f>IF(E10=I10,"",P10)</f>
        <v/>
      </c>
      <c r="M10" s="2746" t="s">
        <v>2572</v>
      </c>
      <c r="N10" s="2280"/>
      <c r="P10" s="2665" t="s">
        <v>66</v>
      </c>
    </row>
    <row r="11" spans="1:17" ht="39.6">
      <c r="A11" s="2297">
        <v>4</v>
      </c>
      <c r="B11" s="2298" t="s">
        <v>1198</v>
      </c>
      <c r="C11" s="2304" t="s">
        <v>1199</v>
      </c>
      <c r="D11" s="2298">
        <f>$G$3</f>
        <v>2014</v>
      </c>
      <c r="E11" s="2300">
        <f>'טופס 1 אקטיב'!H16</f>
        <v>304624</v>
      </c>
      <c r="F11" s="2301" t="s">
        <v>1203</v>
      </c>
      <c r="G11" s="3147" t="s">
        <v>1136</v>
      </c>
      <c r="H11" s="2298">
        <f>$G$3</f>
        <v>2014</v>
      </c>
      <c r="I11" s="2306">
        <v>304624</v>
      </c>
      <c r="J11" s="2302" t="str">
        <f t="shared" si="0"/>
        <v>תקין</v>
      </c>
      <c r="K11" s="2303" t="str">
        <f t="shared" si="1"/>
        <v/>
      </c>
      <c r="L11" s="2729" t="str">
        <f>IF(E11=I11,"",P11)</f>
        <v/>
      </c>
      <c r="M11" s="2746" t="s">
        <v>2572</v>
      </c>
      <c r="N11" s="2280"/>
      <c r="P11" s="2665" t="s">
        <v>66</v>
      </c>
    </row>
    <row r="12" spans="1:17" ht="40.799999999999997">
      <c r="A12" s="2297">
        <v>5</v>
      </c>
      <c r="B12" s="2298" t="s">
        <v>1200</v>
      </c>
      <c r="C12" s="2304" t="s">
        <v>381</v>
      </c>
      <c r="D12" s="2298">
        <f>$F$3</f>
        <v>2015</v>
      </c>
      <c r="E12" s="2300">
        <f>'טופס 1 פאסיב'!G21</f>
        <v>8883</v>
      </c>
      <c r="F12" s="2298" t="s">
        <v>1198</v>
      </c>
      <c r="G12" s="2298" t="s">
        <v>53</v>
      </c>
      <c r="H12" s="2298">
        <f>$F$3</f>
        <v>2015</v>
      </c>
      <c r="I12" s="3150">
        <f>'טופס 1 אקטיב'!F18</f>
        <v>8817</v>
      </c>
      <c r="J12" s="2302" t="str">
        <f t="shared" si="0"/>
        <v/>
      </c>
      <c r="K12" s="2303">
        <f t="shared" si="1"/>
        <v>66</v>
      </c>
      <c r="L12" s="2729" t="str">
        <f>IF(E12=I12,"",P12)</f>
        <v>סה"כ השקעות בקרנות באקטיב  צריך להתאים לקרנות בפאסיב</v>
      </c>
      <c r="M12" s="2746" t="s">
        <v>2474</v>
      </c>
      <c r="N12" s="2280"/>
      <c r="P12" s="2665" t="s">
        <v>2201</v>
      </c>
    </row>
    <row r="13" spans="1:17" ht="40.799999999999997">
      <c r="A13" s="2297">
        <v>6</v>
      </c>
      <c r="B13" s="2298" t="s">
        <v>1200</v>
      </c>
      <c r="C13" s="2304" t="s">
        <v>381</v>
      </c>
      <c r="D13" s="2298">
        <f>$G$3</f>
        <v>2014</v>
      </c>
      <c r="E13" s="2300">
        <f>'טופס 1 פאסיב'!I21</f>
        <v>8570</v>
      </c>
      <c r="F13" s="2298" t="s">
        <v>1198</v>
      </c>
      <c r="G13" s="2298" t="s">
        <v>53</v>
      </c>
      <c r="H13" s="2298">
        <f>$G$3</f>
        <v>2014</v>
      </c>
      <c r="I13" s="3150">
        <f>'טופס 1 אקטיב'!H18</f>
        <v>8494</v>
      </c>
      <c r="J13" s="2302" t="str">
        <f t="shared" si="0"/>
        <v/>
      </c>
      <c r="K13" s="2303">
        <f t="shared" si="1"/>
        <v>76</v>
      </c>
      <c r="L13" s="2729" t="str">
        <f>IF(E13=I13,"",P13)</f>
        <v>סה"כ השקעות בקרנות באקטיב  צריך להתאים לקרנות בפאסיב</v>
      </c>
      <c r="M13" s="2746" t="s">
        <v>2475</v>
      </c>
      <c r="N13" s="2280"/>
      <c r="P13" s="2665" t="s">
        <v>2201</v>
      </c>
    </row>
    <row r="14" spans="1:17" ht="42" customHeight="1">
      <c r="A14" s="2297">
        <v>7</v>
      </c>
      <c r="B14" s="2298" t="s">
        <v>1198</v>
      </c>
      <c r="C14" s="2307" t="str">
        <f>'טופס 1 אקטיב'!B25</f>
        <v>עודף (גרעון) לתחילת השנה</v>
      </c>
      <c r="D14" s="2298">
        <f>$F$3</f>
        <v>2015</v>
      </c>
      <c r="E14" s="2300">
        <f>'טופס 1 אקטיב'!F25</f>
        <v>0</v>
      </c>
      <c r="F14" s="2301" t="str">
        <f>IF('טופס 1 אקטיב'!$H$29&lt;&gt;0,"טופס 1 אקטיב","טופס 1 פאסיב")</f>
        <v>טופס 1 פאסיב</v>
      </c>
      <c r="G14" s="2298" t="str">
        <f>IF('טופס 1 אקטיב'!$H$29&lt;&gt;0,CONCATENATE('טופס 1 אקטיב'!$B$29,$C$3),CONCATENATE('טופס 1 פאסיב'!$B$31,$C$3))</f>
        <v>עודף מצטבר בתקציב הרגיל לסוף השנה הקודמת</v>
      </c>
      <c r="H14" s="2298">
        <f>$G$3</f>
        <v>2014</v>
      </c>
      <c r="I14" s="2300">
        <f>IF('טופס 1 אקטיב'!$F$25&lt;&gt;0,IF('טופס 1 אקטיב'!$H$29&lt;&gt;0,'טופס 1 אקטיב'!$H$29,'טופס 1 פאסיב'!$I$31), 0)</f>
        <v>0</v>
      </c>
      <c r="J14" s="2302" t="str">
        <f>IF(OR(AND('טופס 1 אקטיב'!$F$25='טופס 1 אקטיב'!$H$29),AND('טופס 1 אקטיב'!$F$25=-1*('טופס 1 פאסיב'!$I$31))),$B$3,"")</f>
        <v>תקין</v>
      </c>
      <c r="K14" s="2727" t="str">
        <f>IF(OR(AND('טופס 1 אקטיב'!$F$25='טופס 1 אקטיב'!$H$29),AND('טופס 1 אקטיב'!$F$25=-1*('טופס 1 פאסיב'!$I$31))),"",IF('טופס 1 אקטיב'!$H$29&lt;&gt;0,ABS('טופס 1 אקטיב'!$F$25)-ABS('טופס 1 אקטיב'!$H$29),ABS('טופס 1 אקטיב'!$F$25)-ABS('טופס 1 פאסיב'!$I$31)))</f>
        <v/>
      </c>
      <c r="L14" s="2729" t="str">
        <f>IF(OR(AND('טופס 1 אקטיב'!$F$25='טופס 1 אקטיב'!$H$29),AND('טופס 1 אקטיב'!$F$25=-1*('טופס 1 פאסיב'!$I$31))),"",P14)</f>
        <v/>
      </c>
      <c r="M14" s="2871"/>
      <c r="N14" s="2280"/>
      <c r="P14" s="2665" t="s">
        <v>91</v>
      </c>
    </row>
    <row r="15" spans="1:17" ht="41.25" customHeight="1">
      <c r="A15" s="2297">
        <v>8</v>
      </c>
      <c r="B15" s="2298" t="s">
        <v>1200</v>
      </c>
      <c r="C15" s="2307" t="str">
        <f>'טופס 1 פאסיב'!B27</f>
        <v>עודף לתחילת השנה</v>
      </c>
      <c r="D15" s="2298">
        <f>$F$3</f>
        <v>2015</v>
      </c>
      <c r="E15" s="2300">
        <f>'טופס 1 פאסיב'!G27</f>
        <v>23286</v>
      </c>
      <c r="F15" s="2301" t="str">
        <f>IF('טופס 1 פאסיב'!$I$31=0,"טופס 1 אקטיב","טופס 1 פאסיב")</f>
        <v>טופס 1 פאסיב</v>
      </c>
      <c r="G15" s="2298" t="str">
        <f>IF('טופס 1 אקטיב'!$H$29 =0,CONCATENATE('טופס 1 פאסיב'!$B$31,$C$3),CONCATENATE('טופס 1 אקטיב'!$B$29,$C$3))</f>
        <v>עודף מצטבר בתקציב הרגיל לסוף השנה הקודמת</v>
      </c>
      <c r="H15" s="2298">
        <f>$G$3</f>
        <v>2014</v>
      </c>
      <c r="I15" s="2300">
        <f>IF('טופס 1 אקטיב'!$F$25=0,IF('טופס 1 פאסיב'!$I$31=0,'טופס 1 אקטיב'!$H$29,'טופס 1 פאסיב'!$I$31),0)</f>
        <v>23286</v>
      </c>
      <c r="J15" s="2302" t="str">
        <f>IF(OR(AND('טופס 1 פאסיב'!$G$27='טופס 1 פאסיב'!$I$31),AND('טופס 1 אקטיב'!$H$29='טופס 1 פאסיב'!$G$27)),$B$3,"")</f>
        <v>תקין</v>
      </c>
      <c r="K15" s="2303" t="str">
        <f>IF(OR(AND('טופס 1 פאסיב'!$G$27='טופס 1 פאסיב'!$I$31),AND('טופס 1 פאסיב'!$G$27=-1*('טופס 1 אקטיב'!$H$29))),"",IF('טופס 1 אקטיב'!$H$29&lt;&gt;0,ABS('טופס 1 פאסיב'!$G$27)-ABS('טופס 1 אקטיב'!$H$29),ABS('טופס 1 פאסיב'!$G$27)-ABS('טופס 1 פאסיב'!$I$31)))</f>
        <v/>
      </c>
      <c r="L15" s="2729" t="str">
        <f>IF(OR(AND('טופס 1 פאסיב'!$G$27='טופס 1 פאסיב'!$I$31),AND('טופס 1 פאסיב'!$G$27=-1*('טופס 1 אקטיב'!$H$29))),"",P15)</f>
        <v/>
      </c>
      <c r="M15" s="2871"/>
      <c r="N15" s="2280"/>
      <c r="P15" s="2665" t="s">
        <v>92</v>
      </c>
    </row>
    <row r="16" spans="1:17" ht="32.25" customHeight="1">
      <c r="A16" s="2297">
        <v>9</v>
      </c>
      <c r="B16" s="2740" t="s">
        <v>574</v>
      </c>
      <c r="C16" s="2662" t="s">
        <v>25</v>
      </c>
      <c r="D16" s="2298">
        <f>$F$3</f>
        <v>2015</v>
      </c>
      <c r="E16" s="2300">
        <f>'ביאור 3'!C135</f>
        <v>0</v>
      </c>
      <c r="F16" s="2741" t="s">
        <v>1216</v>
      </c>
      <c r="G16" s="2740" t="s">
        <v>25</v>
      </c>
      <c r="H16" s="2298">
        <f>$F$3</f>
        <v>2015</v>
      </c>
      <c r="I16" s="2300">
        <f>'ביאור 4'!E22</f>
        <v>0</v>
      </c>
      <c r="J16" s="2302" t="str">
        <f>IF($I$16=$E$16,B3,"")</f>
        <v>תקין</v>
      </c>
      <c r="K16" s="2303" t="str">
        <f>IF($I$16=$E$16,"",$E$16-$I$16)</f>
        <v/>
      </c>
      <c r="L16" s="2729" t="str">
        <f>IF($I$16=$E$16,"",P16)</f>
        <v/>
      </c>
      <c r="M16" s="2746"/>
      <c r="N16" s="2280"/>
      <c r="P16" s="2665" t="s">
        <v>575</v>
      </c>
    </row>
    <row r="17" spans="1:16" ht="30.75" customHeight="1">
      <c r="A17" s="2297">
        <v>10</v>
      </c>
      <c r="B17" s="2740" t="s">
        <v>574</v>
      </c>
      <c r="C17" s="2662" t="s">
        <v>25</v>
      </c>
      <c r="D17" s="2298">
        <f>$G$3</f>
        <v>2014</v>
      </c>
      <c r="E17" s="2300">
        <f>'ביאור 3'!E135</f>
        <v>0</v>
      </c>
      <c r="F17" s="2741" t="s">
        <v>1216</v>
      </c>
      <c r="G17" s="2740" t="s">
        <v>25</v>
      </c>
      <c r="H17" s="2298">
        <f>$G$3</f>
        <v>2014</v>
      </c>
      <c r="I17" s="2300">
        <f>'ביאור 4'!G22</f>
        <v>0</v>
      </c>
      <c r="J17" s="2302" t="str">
        <f>IF($I$17=$E$17,B3,"")</f>
        <v>תקין</v>
      </c>
      <c r="K17" s="2303" t="str">
        <f>IF($I$17=$E$17,"",$E$17-$I$17)</f>
        <v/>
      </c>
      <c r="L17" s="2729" t="str">
        <f>IF($I$17=$E$17,"",P17)</f>
        <v/>
      </c>
      <c r="M17" s="2746"/>
      <c r="N17" s="2280"/>
      <c r="P17" s="2665" t="s">
        <v>575</v>
      </c>
    </row>
    <row r="18" spans="1:16" s="2314" customFormat="1" ht="31.5" customHeight="1">
      <c r="A18" s="2297">
        <v>11</v>
      </c>
      <c r="B18" s="2298" t="s">
        <v>1198</v>
      </c>
      <c r="C18" s="2304" t="s">
        <v>352</v>
      </c>
      <c r="D18" s="2298">
        <f>$F$3</f>
        <v>2015</v>
      </c>
      <c r="E18" s="2300">
        <f>'טופס 1 אקטיב'!F20</f>
        <v>180910</v>
      </c>
      <c r="F18" s="2305" t="s">
        <v>1200</v>
      </c>
      <c r="G18" s="2298" t="s">
        <v>1207</v>
      </c>
      <c r="H18" s="2298">
        <f>$F$3</f>
        <v>2015</v>
      </c>
      <c r="I18" s="2300">
        <f>'טופס 1 פאסיב'!G23</f>
        <v>180910</v>
      </c>
      <c r="J18" s="2312" t="str">
        <f>IF(E18=I18,$B$3,"")</f>
        <v>תקין</v>
      </c>
      <c r="K18" s="2303" t="str">
        <f t="shared" ref="K18:K29" si="2">IF(E18&lt;&gt;I18,E18-I18,"")</f>
        <v/>
      </c>
      <c r="L18" s="2729" t="str">
        <f t="shared" ref="L18:L29" si="3">IF(E18&lt;&gt;I18,P18,"")</f>
        <v/>
      </c>
      <c r="M18" s="2746"/>
      <c r="N18" s="2313"/>
      <c r="P18" s="2665" t="s">
        <v>93</v>
      </c>
    </row>
    <row r="19" spans="1:16" s="2314" customFormat="1" ht="31.5" customHeight="1">
      <c r="A19" s="2297">
        <v>12</v>
      </c>
      <c r="B19" s="2298" t="s">
        <v>1198</v>
      </c>
      <c r="C19" s="2304" t="s">
        <v>352</v>
      </c>
      <c r="D19" s="2298">
        <f>$G$3</f>
        <v>2014</v>
      </c>
      <c r="E19" s="2300">
        <f>'טופס 1 אקטיב'!H20</f>
        <v>180745</v>
      </c>
      <c r="F19" s="2305" t="s">
        <v>1200</v>
      </c>
      <c r="G19" s="2298" t="s">
        <v>1207</v>
      </c>
      <c r="H19" s="2298">
        <f>$G$3</f>
        <v>2014</v>
      </c>
      <c r="I19" s="2300">
        <f>'טופס 1 פאסיב'!I23</f>
        <v>180745</v>
      </c>
      <c r="J19" s="2312" t="str">
        <f>IF(E19=I19,$B$3,"")</f>
        <v>תקין</v>
      </c>
      <c r="K19" s="2303" t="str">
        <f t="shared" si="2"/>
        <v/>
      </c>
      <c r="L19" s="2729" t="str">
        <f t="shared" si="3"/>
        <v/>
      </c>
      <c r="M19" s="2746"/>
      <c r="N19" s="2313"/>
      <c r="P19" s="2665" t="s">
        <v>93</v>
      </c>
    </row>
    <row r="20" spans="1:16">
      <c r="A20" s="2297">
        <v>13</v>
      </c>
      <c r="B20" s="2298" t="s">
        <v>1198</v>
      </c>
      <c r="C20" s="2304" t="s">
        <v>1208</v>
      </c>
      <c r="D20" s="2298">
        <f>$F$3</f>
        <v>2015</v>
      </c>
      <c r="E20" s="2300">
        <f>'טופס 1 אקטיב'!F39</f>
        <v>882280</v>
      </c>
      <c r="F20" s="2305" t="s">
        <v>1200</v>
      </c>
      <c r="G20" s="2298" t="s">
        <v>1209</v>
      </c>
      <c r="H20" s="2298">
        <f>$F$3</f>
        <v>2015</v>
      </c>
      <c r="I20" s="2300">
        <f>'טופס 1 פאסיב'!G36</f>
        <v>882280</v>
      </c>
      <c r="J20" s="2312" t="str">
        <f>IF(E20=I20,$B$3,"")</f>
        <v>תקין</v>
      </c>
      <c r="K20" s="2303" t="str">
        <f t="shared" si="2"/>
        <v/>
      </c>
      <c r="L20" s="2729" t="str">
        <f t="shared" si="3"/>
        <v/>
      </c>
      <c r="M20" s="2746"/>
      <c r="N20" s="2280"/>
      <c r="P20" s="2665" t="s">
        <v>94</v>
      </c>
    </row>
    <row r="21" spans="1:16">
      <c r="A21" s="2297">
        <v>14</v>
      </c>
      <c r="B21" s="2298" t="s">
        <v>1198</v>
      </c>
      <c r="C21" s="2304" t="s">
        <v>1209</v>
      </c>
      <c r="D21" s="2298">
        <f>$G$3</f>
        <v>2014</v>
      </c>
      <c r="E21" s="2300">
        <f>'טופס 1 אקטיב'!H39</f>
        <v>735673</v>
      </c>
      <c r="F21" s="2305" t="s">
        <v>1200</v>
      </c>
      <c r="G21" s="2298" t="s">
        <v>1209</v>
      </c>
      <c r="H21" s="2298">
        <f>$G$3</f>
        <v>2014</v>
      </c>
      <c r="I21" s="2300">
        <f>'טופס 1 פאסיב'!I36</f>
        <v>735673</v>
      </c>
      <c r="J21" s="2312"/>
      <c r="K21" s="2303" t="str">
        <f t="shared" si="2"/>
        <v/>
      </c>
      <c r="L21" s="2729" t="str">
        <f t="shared" si="3"/>
        <v/>
      </c>
      <c r="M21" s="2746"/>
      <c r="N21" s="2280"/>
      <c r="P21" s="2665" t="s">
        <v>94</v>
      </c>
    </row>
    <row r="22" spans="1:16" ht="26.4">
      <c r="A22" s="2297">
        <v>15</v>
      </c>
      <c r="B22" s="2298" t="s">
        <v>1198</v>
      </c>
      <c r="C22" s="2304" t="s">
        <v>364</v>
      </c>
      <c r="D22" s="2298">
        <f>$F$3</f>
        <v>2015</v>
      </c>
      <c r="E22" s="2300">
        <f>'טופס 1 אקטיב'!F47</f>
        <v>583749</v>
      </c>
      <c r="F22" s="2305" t="s">
        <v>1210</v>
      </c>
      <c r="G22" s="2298" t="s">
        <v>771</v>
      </c>
      <c r="H22" s="2298">
        <f>$F$3</f>
        <v>2015</v>
      </c>
      <c r="I22" s="2300">
        <f>'נספח 2 לטופס 1'!I45</f>
        <v>583748.79</v>
      </c>
      <c r="J22" s="2312" t="str">
        <f t="shared" ref="J22:J29" si="4">IF(E22=I22,$B$3,"")</f>
        <v/>
      </c>
      <c r="K22" s="2303">
        <f t="shared" si="2"/>
        <v>0.2099999999627471</v>
      </c>
      <c r="L22" s="2729" t="str">
        <f t="shared" si="3"/>
        <v>חיוב מיסים במאזן אינו תואם את נספח 2 לטופס 1</v>
      </c>
      <c r="M22" s="2746"/>
      <c r="N22" s="2280"/>
      <c r="P22" s="2665" t="s">
        <v>95</v>
      </c>
    </row>
    <row r="23" spans="1:16" ht="26.4">
      <c r="A23" s="2297">
        <v>16</v>
      </c>
      <c r="B23" s="2298" t="s">
        <v>1198</v>
      </c>
      <c r="C23" s="2304" t="s">
        <v>364</v>
      </c>
      <c r="D23" s="2298">
        <f>$G$3</f>
        <v>2014</v>
      </c>
      <c r="E23" s="2300">
        <f>'טופס 1 אקטיב'!H47</f>
        <v>625093</v>
      </c>
      <c r="F23" s="2305" t="s">
        <v>1210</v>
      </c>
      <c r="G23" s="2298" t="s">
        <v>771</v>
      </c>
      <c r="H23" s="2298">
        <f>$G$3</f>
        <v>2014</v>
      </c>
      <c r="I23" s="2300">
        <f>'נספח 2 לטופס 1'!I46</f>
        <v>625093</v>
      </c>
      <c r="J23" s="2312" t="str">
        <f t="shared" si="4"/>
        <v>תקין</v>
      </c>
      <c r="K23" s="2303" t="str">
        <f t="shared" si="2"/>
        <v/>
      </c>
      <c r="L23" s="2729" t="str">
        <f t="shared" si="3"/>
        <v/>
      </c>
      <c r="M23" s="2746"/>
      <c r="N23" s="2280"/>
      <c r="P23" s="2665" t="s">
        <v>95</v>
      </c>
    </row>
    <row r="24" spans="1:16" ht="26.4">
      <c r="A24" s="2961">
        <v>17</v>
      </c>
      <c r="B24" s="2965" t="s">
        <v>1216</v>
      </c>
      <c r="C24" s="2966" t="s">
        <v>320</v>
      </c>
      <c r="D24" s="2298">
        <f>$F$3</f>
        <v>2015</v>
      </c>
      <c r="E24" s="2962">
        <f>'ביאור 4'!C9</f>
        <v>0</v>
      </c>
      <c r="F24" s="2963" t="s">
        <v>1216</v>
      </c>
      <c r="G24" s="2965" t="s">
        <v>322</v>
      </c>
      <c r="H24" s="2298">
        <f>$F$3</f>
        <v>2015</v>
      </c>
      <c r="I24" s="2962">
        <f>'ביאור 4'!C22</f>
        <v>0</v>
      </c>
      <c r="J24" s="2312" t="str">
        <f t="shared" si="4"/>
        <v>תקין</v>
      </c>
      <c r="K24" s="2303" t="str">
        <f>IF(E24&lt;&gt;I24,E24-I24,"")</f>
        <v/>
      </c>
      <c r="L24" s="2729" t="str">
        <f>IF(E24&lt;&gt;I24,P24,"")</f>
        <v/>
      </c>
      <c r="M24" s="2746"/>
      <c r="N24" s="2280"/>
      <c r="P24" s="2665" t="s">
        <v>324</v>
      </c>
    </row>
    <row r="25" spans="1:16" ht="26.4">
      <c r="A25" s="2961">
        <v>18</v>
      </c>
      <c r="B25" s="2965" t="s">
        <v>1216</v>
      </c>
      <c r="C25" s="2966" t="s">
        <v>321</v>
      </c>
      <c r="D25" s="2298">
        <f>$F$3</f>
        <v>2015</v>
      </c>
      <c r="E25" s="2962">
        <f>'ביאור 4'!E9</f>
        <v>0</v>
      </c>
      <c r="F25" s="2963" t="s">
        <v>1216</v>
      </c>
      <c r="G25" s="2965" t="s">
        <v>323</v>
      </c>
      <c r="H25" s="2298">
        <f>$F$3</f>
        <v>2015</v>
      </c>
      <c r="I25" s="2962">
        <f>'ביאור 4'!E22</f>
        <v>0</v>
      </c>
      <c r="J25" s="2312" t="str">
        <f t="shared" si="4"/>
        <v>תקין</v>
      </c>
      <c r="K25" s="2303" t="str">
        <f>IF(E25&lt;&gt;I25,E25-I25,"")</f>
        <v/>
      </c>
      <c r="L25" s="2729" t="str">
        <f>IF(E25&lt;&gt;I25,P25,"")</f>
        <v/>
      </c>
      <c r="M25" s="2746"/>
      <c r="N25" s="2280"/>
      <c r="P25" s="2665" t="s">
        <v>324</v>
      </c>
    </row>
    <row r="26" spans="1:16" ht="26.4">
      <c r="A26" s="2961">
        <v>19</v>
      </c>
      <c r="B26" s="2965" t="s">
        <v>1216</v>
      </c>
      <c r="C26" s="2966" t="s">
        <v>321</v>
      </c>
      <c r="D26" s="2298">
        <f>$G$3</f>
        <v>2014</v>
      </c>
      <c r="E26" s="2962">
        <f>'ביאור 4'!G9</f>
        <v>0</v>
      </c>
      <c r="F26" s="2963" t="s">
        <v>1216</v>
      </c>
      <c r="G26" s="2965" t="s">
        <v>323</v>
      </c>
      <c r="H26" s="2298">
        <f>$G$3</f>
        <v>2014</v>
      </c>
      <c r="I26" s="2962">
        <f>'ביאור 4'!G22</f>
        <v>0</v>
      </c>
      <c r="J26" s="2312" t="str">
        <f t="shared" si="4"/>
        <v>תקין</v>
      </c>
      <c r="K26" s="2303" t="str">
        <f>IF(E26&lt;&gt;I26,E26-I26,"")</f>
        <v/>
      </c>
      <c r="L26" s="2729" t="str">
        <f>IF(E26&lt;&gt;I26,P26,"")</f>
        <v/>
      </c>
      <c r="M26" s="2746"/>
      <c r="N26" s="2280"/>
      <c r="P26" s="2665" t="s">
        <v>324</v>
      </c>
    </row>
    <row r="27" spans="1:16" ht="42.75" customHeight="1">
      <c r="A27" s="2961">
        <v>20</v>
      </c>
      <c r="B27" s="2965" t="s">
        <v>1211</v>
      </c>
      <c r="C27" s="2966" t="s">
        <v>256</v>
      </c>
      <c r="D27" s="2298">
        <f>$F$3</f>
        <v>2015</v>
      </c>
      <c r="E27" s="2962">
        <f>'ביאור 5'!J26</f>
        <v>282120</v>
      </c>
      <c r="F27" s="2967" t="s">
        <v>255</v>
      </c>
      <c r="G27" s="2965" t="s">
        <v>1428</v>
      </c>
      <c r="H27" s="2298">
        <f>$F$3</f>
        <v>2015</v>
      </c>
      <c r="I27" s="2962">
        <f>'נתונים לטופס 3'!D26</f>
        <v>282120</v>
      </c>
      <c r="J27" s="2312" t="str">
        <f t="shared" si="4"/>
        <v>תקין</v>
      </c>
      <c r="K27" s="2303" t="str">
        <f>IF(E27&lt;&gt;I27,E27-I27,"")</f>
        <v/>
      </c>
      <c r="L27" s="2729" t="str">
        <f>IF(E27&lt;&gt;I27,P27,"")</f>
        <v/>
      </c>
      <c r="M27" s="2746"/>
      <c r="N27" s="2280"/>
      <c r="P27" s="2665" t="s">
        <v>257</v>
      </c>
    </row>
    <row r="28" spans="1:16" ht="42.75" customHeight="1">
      <c r="A28" s="2961">
        <v>21</v>
      </c>
      <c r="B28" s="2965" t="s">
        <v>1211</v>
      </c>
      <c r="C28" s="2966" t="s">
        <v>256</v>
      </c>
      <c r="D28" s="2298">
        <f>$G$3</f>
        <v>2014</v>
      </c>
      <c r="E28" s="2962">
        <f>'ביאור 5'!J14</f>
        <v>229573</v>
      </c>
      <c r="F28" s="2967" t="s">
        <v>255</v>
      </c>
      <c r="G28" s="2965" t="s">
        <v>1428</v>
      </c>
      <c r="H28" s="2298">
        <f>$G$3</f>
        <v>2014</v>
      </c>
      <c r="I28" s="2962">
        <f>'נתונים לטופס 3'!E26</f>
        <v>229573</v>
      </c>
      <c r="J28" s="2312" t="str">
        <f t="shared" si="4"/>
        <v>תקין</v>
      </c>
      <c r="K28" s="2303" t="str">
        <f>IF(E28&lt;&gt;I28,E28-I28,"")</f>
        <v/>
      </c>
      <c r="L28" s="2729" t="str">
        <f>IF(E28&lt;&gt;I28,P28,"")</f>
        <v/>
      </c>
      <c r="M28" s="2746"/>
      <c r="N28" s="2280"/>
      <c r="P28" s="2665" t="s">
        <v>258</v>
      </c>
    </row>
    <row r="29" spans="1:16" ht="42.75" customHeight="1">
      <c r="A29" s="2961">
        <v>22</v>
      </c>
      <c r="B29" s="2965" t="s">
        <v>1211</v>
      </c>
      <c r="C29" s="2966" t="s">
        <v>771</v>
      </c>
      <c r="D29" s="2298">
        <f>$G$3</f>
        <v>2014</v>
      </c>
      <c r="E29" s="2962">
        <f>'ביאור 5'!P14</f>
        <v>177966</v>
      </c>
      <c r="F29" s="2967" t="s">
        <v>1211</v>
      </c>
      <c r="G29" s="2965" t="s">
        <v>1212</v>
      </c>
      <c r="H29" s="2298">
        <f>$F$3</f>
        <v>2015</v>
      </c>
      <c r="I29" s="2962">
        <f>'ביאור 5'!C26</f>
        <v>177966</v>
      </c>
      <c r="J29" s="2312" t="str">
        <f t="shared" si="4"/>
        <v>תקין</v>
      </c>
      <c r="K29" s="2303" t="str">
        <f t="shared" si="2"/>
        <v/>
      </c>
      <c r="L29" s="2729" t="str">
        <f t="shared" si="3"/>
        <v/>
      </c>
      <c r="M29" s="2746"/>
      <c r="N29" s="2280"/>
      <c r="P29" s="2665" t="s">
        <v>96</v>
      </c>
    </row>
    <row r="30" spans="1:16" ht="26.4">
      <c r="A30" s="2961">
        <v>23</v>
      </c>
      <c r="B30" s="2980" t="s">
        <v>1525</v>
      </c>
      <c r="C30" s="3158" t="s">
        <v>1527</v>
      </c>
      <c r="D30" s="2298">
        <f>$F$3</f>
        <v>2015</v>
      </c>
      <c r="E30" s="2962">
        <f>'טופס 1 אקטיב'!F29-'טופס 1 פאסיב'!G31</f>
        <v>-19442</v>
      </c>
      <c r="F30" s="2963" t="s">
        <v>1213</v>
      </c>
      <c r="G30" s="2980" t="s">
        <v>1528</v>
      </c>
      <c r="H30" s="2298">
        <f>$F$3</f>
        <v>2015</v>
      </c>
      <c r="I30" s="2962">
        <f>'טופס 2'!E59</f>
        <v>836225</v>
      </c>
      <c r="J30" s="2651"/>
      <c r="K30" s="2982"/>
      <c r="L30" s="2729"/>
      <c r="M30" s="2964"/>
      <c r="N30" s="2280"/>
    </row>
    <row r="31" spans="1:16" ht="26.4">
      <c r="A31" s="2961"/>
      <c r="B31" s="2980"/>
      <c r="C31" s="3158" t="s">
        <v>358</v>
      </c>
      <c r="D31" s="2298">
        <f>$F$3</f>
        <v>2015</v>
      </c>
      <c r="E31" s="2962">
        <f>'טופס 1 אקטיב'!F33</f>
        <v>0</v>
      </c>
      <c r="F31" s="2963"/>
      <c r="G31" s="2980"/>
      <c r="H31" s="2980"/>
      <c r="I31" s="2962"/>
      <c r="J31" s="2651"/>
      <c r="K31" s="2982"/>
      <c r="L31" s="2729"/>
      <c r="M31" s="2964"/>
      <c r="N31" s="2280"/>
    </row>
    <row r="32" spans="1:16" ht="26.4">
      <c r="A32" s="2961"/>
      <c r="B32" s="2980"/>
      <c r="C32" s="2298" t="s">
        <v>1526</v>
      </c>
      <c r="D32" s="2298">
        <f>$F$3</f>
        <v>2015</v>
      </c>
      <c r="E32" s="2652"/>
      <c r="F32" s="2963"/>
      <c r="G32" s="2980"/>
      <c r="H32" s="2980"/>
      <c r="I32" s="2962"/>
      <c r="J32" s="2651"/>
      <c r="K32" s="2982"/>
      <c r="L32" s="2729"/>
      <c r="M32" s="2964"/>
      <c r="N32" s="2280"/>
    </row>
    <row r="33" spans="1:16" ht="40.799999999999997">
      <c r="A33" s="2961"/>
      <c r="B33" s="2980"/>
      <c r="C33" s="2298" t="s">
        <v>782</v>
      </c>
      <c r="D33" s="2308"/>
      <c r="E33" s="2653">
        <f>SUM(E30:E32)</f>
        <v>-19442</v>
      </c>
      <c r="F33" s="2963"/>
      <c r="G33" s="2980"/>
      <c r="H33" s="2980"/>
      <c r="I33" s="2962"/>
      <c r="J33" s="2312" t="str">
        <f>IF(E33&lt;I30*30%,$B$3,"")</f>
        <v>תקין</v>
      </c>
      <c r="K33" s="3159" t="str">
        <f>IF(E33&gt;I30*30%,E33/I30,"")</f>
        <v/>
      </c>
      <c r="L33" s="2729" t="str">
        <f>IF(E33&gt;I30*30%,P33,"")</f>
        <v/>
      </c>
      <c r="M33" s="2964"/>
      <c r="N33" s="2280"/>
      <c r="P33" s="2665" t="s">
        <v>1529</v>
      </c>
    </row>
    <row r="34" spans="1:16" ht="30.6">
      <c r="A34" s="2961">
        <v>24</v>
      </c>
      <c r="B34" s="2980" t="s">
        <v>1210</v>
      </c>
      <c r="C34" s="3158" t="s">
        <v>1530</v>
      </c>
      <c r="D34" s="2980">
        <f>$F$3</f>
        <v>2015</v>
      </c>
      <c r="E34" s="2962">
        <f>'נספח 2 לטופס 1'!I14+'נספח 2 לטופס 1'!I18+'נספח 2 לטופס 1'!I22+'נספח 2 לטופס 1'!I42</f>
        <v>248164</v>
      </c>
      <c r="F34" s="2963" t="s">
        <v>1210</v>
      </c>
      <c r="G34" s="2980" t="s">
        <v>1531</v>
      </c>
      <c r="H34" s="2980">
        <f>$F$3</f>
        <v>2015</v>
      </c>
      <c r="I34" s="2962">
        <f>'נספח 2 לטופס 1'!I45</f>
        <v>583748.79</v>
      </c>
      <c r="J34" s="3180" t="str">
        <f>IF(E34&lt;I34*50%,$B$3,"")</f>
        <v>תקין</v>
      </c>
      <c r="K34" s="3206" t="str">
        <f>IF(E34&gt;I34*50%,E34/I34,"")</f>
        <v/>
      </c>
      <c r="L34" s="3156" t="str">
        <f>IF(E34&gt;I34*50%,P34,"")</f>
        <v/>
      </c>
      <c r="M34" s="2964"/>
      <c r="N34" s="2280"/>
      <c r="P34" s="2665" t="s">
        <v>1532</v>
      </c>
    </row>
    <row r="35" spans="1:16" s="2563" customFormat="1" ht="61.2">
      <c r="A35" s="2961">
        <v>25</v>
      </c>
      <c r="B35" s="3181" t="s">
        <v>2209</v>
      </c>
      <c r="C35" s="3286" t="s">
        <v>2219</v>
      </c>
      <c r="D35" s="2980">
        <f>$F$3</f>
        <v>2015</v>
      </c>
      <c r="E35" s="2962" t="str">
        <f>IF('ביאורים 1, 2 א-ב'!$C$31&lt;&gt;"","התקציב עודכן",IF(OR('ביאורים 1, 2 א-ב'!$C$28&lt;&gt;"",'ביאורים 1, 2 א-ב'!$C$29&lt;&gt;""),"רשות איתנה/יציבה","התקציב לא עודכן"))</f>
        <v>רשות איתנה/יציבה</v>
      </c>
      <c r="F35" s="3182" t="s">
        <v>1224</v>
      </c>
      <c r="G35" s="3181" t="s">
        <v>1594</v>
      </c>
      <c r="H35" s="2980">
        <f>$F$3</f>
        <v>2015</v>
      </c>
      <c r="I35" s="3183" t="str">
        <f>IF('נספח 1 לטופס 2'!$F$8&lt;&gt;0,"התקציב עודכן","התקציב לא עודכן")</f>
        <v>התקציב עודכן</v>
      </c>
      <c r="J35" s="2312" t="str">
        <f>IF(E35&lt;&gt;I35,"",$B$3)</f>
        <v/>
      </c>
      <c r="K35" s="2303" t="str">
        <f>IF(E35="רשות איתנה/יציבה","",IF(E35&lt;&gt;I35,"אין התאמה",""))</f>
        <v/>
      </c>
      <c r="L35" s="3283" t="str">
        <f>IF(E35="רשות איתנה/יציבה","",IF(E35&lt;&gt;I35,P35,""))</f>
        <v/>
      </c>
      <c r="M35" s="3184"/>
      <c r="N35" s="2280"/>
      <c r="P35" s="3185" t="s">
        <v>2216</v>
      </c>
    </row>
    <row r="36" spans="1:16" s="2563" customFormat="1" ht="61.2">
      <c r="A36" s="3274">
        <v>26</v>
      </c>
      <c r="B36" s="3181" t="s">
        <v>2209</v>
      </c>
      <c r="C36" s="3286" t="s">
        <v>2218</v>
      </c>
      <c r="D36" s="2980">
        <f>$F$3</f>
        <v>2015</v>
      </c>
      <c r="E36" s="2962" t="str">
        <f>IF('ביאורים 1, 2 א-ב'!$C$34&lt;&gt;"","התקציב עודכן",IF(OR('ביאורים 1, 2 א-ב'!$C$28&lt;&gt;"",'ביאורים 1, 2 א-ב'!$C$29&lt;&gt;""),"רשות איתנה/יציבה","התקציב לא עודכן"))</f>
        <v>התקציב עודכן</v>
      </c>
      <c r="F36" s="3182" t="s">
        <v>1224</v>
      </c>
      <c r="G36" s="3181" t="s">
        <v>1594</v>
      </c>
      <c r="H36" s="2980">
        <f>$F$3</f>
        <v>2015</v>
      </c>
      <c r="I36" s="3183" t="str">
        <f>IF('נספח 1 לטופס 2'!$F$8&lt;&gt;0,"התקציב עודכן","התקציב לא עודכן")</f>
        <v>התקציב עודכן</v>
      </c>
      <c r="J36" s="2312" t="str">
        <f>IF(E36&lt;&gt;I36,"",$B$3)</f>
        <v>תקין</v>
      </c>
      <c r="K36" s="2303" t="str">
        <f>IF(E36="רשות איתנה/יציבה","",IF(E36&lt;&gt;I36,"אין התאמה",""))</f>
        <v/>
      </c>
      <c r="L36" s="3283" t="str">
        <f>IF(E36="רשות איתנה/יציבה","",IF(E36&lt;&gt;I36,P36,""))</f>
        <v/>
      </c>
      <c r="M36" s="3184"/>
      <c r="N36" s="2280"/>
      <c r="P36" s="3185" t="s">
        <v>2217</v>
      </c>
    </row>
    <row r="37" spans="1:16" ht="15.6">
      <c r="A37" s="2321"/>
      <c r="B37" s="3723" t="s">
        <v>1213</v>
      </c>
      <c r="C37" s="3723"/>
      <c r="D37" s="3723"/>
      <c r="E37" s="3723"/>
      <c r="F37" s="3723"/>
      <c r="G37" s="3723"/>
      <c r="H37" s="3723"/>
      <c r="I37" s="3723"/>
      <c r="J37" s="2322"/>
      <c r="K37" s="2322"/>
      <c r="L37" s="2322"/>
      <c r="M37" s="2745"/>
      <c r="N37" s="2280"/>
    </row>
    <row r="38" spans="1:16">
      <c r="A38" s="2323">
        <v>27</v>
      </c>
      <c r="B38" s="2309" t="s">
        <v>1213</v>
      </c>
      <c r="C38" s="2324" t="s">
        <v>1214</v>
      </c>
      <c r="D38" s="2309">
        <f>$F$3</f>
        <v>2015</v>
      </c>
      <c r="E38" s="2310">
        <f>'טופס 2'!G11</f>
        <v>539906</v>
      </c>
      <c r="F38" s="2325" t="s">
        <v>1210</v>
      </c>
      <c r="G38" s="2309" t="s">
        <v>1215</v>
      </c>
      <c r="H38" s="2309">
        <f>$F$3</f>
        <v>2015</v>
      </c>
      <c r="I38" s="2310">
        <f>'נספח 2 לטופס 1'!H15</f>
        <v>491977</v>
      </c>
      <c r="J38" s="2651"/>
      <c r="K38" s="2296"/>
      <c r="L38" s="2656"/>
      <c r="M38" s="2870"/>
      <c r="N38" s="2280"/>
    </row>
    <row r="39" spans="1:16">
      <c r="A39" s="2297"/>
      <c r="B39" s="2298"/>
      <c r="C39" s="2304"/>
      <c r="D39" s="2298"/>
      <c r="E39" s="2300"/>
      <c r="F39" s="2305" t="s">
        <v>1216</v>
      </c>
      <c r="G39" s="2298" t="s">
        <v>1217</v>
      </c>
      <c r="H39" s="2298">
        <f>$F$3</f>
        <v>2015</v>
      </c>
      <c r="I39" s="2300">
        <f>'ביאור 4'!E23</f>
        <v>45760</v>
      </c>
      <c r="J39" s="2651"/>
      <c r="K39" s="2303"/>
      <c r="L39" s="2655"/>
      <c r="M39" s="2746"/>
      <c r="N39" s="2280"/>
    </row>
    <row r="40" spans="1:16" s="2314" customFormat="1">
      <c r="A40" s="2311"/>
      <c r="B40" s="2298"/>
      <c r="C40" s="2304"/>
      <c r="D40" s="2298"/>
      <c r="E40" s="2300"/>
      <c r="F40" s="2305"/>
      <c r="G40" s="2298" t="s">
        <v>1563</v>
      </c>
      <c r="H40" s="2298">
        <f>$F$3</f>
        <v>2015</v>
      </c>
      <c r="I40" s="3150">
        <f>'נספח 2 לטופס 1 - פירוט ב'!J12</f>
        <v>1435</v>
      </c>
      <c r="J40" s="2651"/>
      <c r="K40" s="2303"/>
      <c r="L40" s="2655"/>
      <c r="M40" s="2746"/>
      <c r="N40" s="2313"/>
      <c r="P40" s="2665"/>
    </row>
    <row r="41" spans="1:16" ht="30.6">
      <c r="A41" s="2297"/>
      <c r="B41" s="2298"/>
      <c r="C41" s="2304"/>
      <c r="D41" s="2308"/>
      <c r="E41" s="2300"/>
      <c r="F41" s="2301"/>
      <c r="G41" s="2298" t="s">
        <v>782</v>
      </c>
      <c r="H41" s="2308"/>
      <c r="I41" s="2653">
        <f>SUM(I38:I40)</f>
        <v>539172</v>
      </c>
      <c r="J41" s="2302" t="str">
        <f>IF($E$38=$I$41,$B$3,"")</f>
        <v/>
      </c>
      <c r="K41" s="2303">
        <f>IF($E$38&lt;&gt;$I$41,$E$38-$I$41,"")</f>
        <v>734</v>
      </c>
      <c r="L41" s="2729" t="str">
        <f>IF(E38&lt;&gt;I41,P41,"")</f>
        <v>התאמה לא תקינה</v>
      </c>
      <c r="M41" s="2746" t="s">
        <v>2569</v>
      </c>
      <c r="N41" s="2280"/>
      <c r="P41" s="2665" t="s">
        <v>1564</v>
      </c>
    </row>
    <row r="42" spans="1:16" ht="26.4">
      <c r="A42" s="2961">
        <v>28</v>
      </c>
      <c r="B42" s="2298" t="s">
        <v>1216</v>
      </c>
      <c r="C42" s="2304" t="s">
        <v>1561</v>
      </c>
      <c r="D42" s="2298">
        <f>$F$3</f>
        <v>2015</v>
      </c>
      <c r="E42" s="2300">
        <f>'ביאור 4'!$E$23</f>
        <v>45760</v>
      </c>
      <c r="F42" s="2301" t="s">
        <v>1210</v>
      </c>
      <c r="G42" s="2298" t="s">
        <v>861</v>
      </c>
      <c r="H42" s="2309">
        <f t="shared" ref="H42:H47" si="5">$F$3</f>
        <v>2015</v>
      </c>
      <c r="I42" s="2300">
        <f>'נספח 2 לטופס 1 - פירוט ב'!K12</f>
        <v>71451</v>
      </c>
      <c r="J42" s="2302"/>
      <c r="K42" s="2303"/>
      <c r="L42" s="2654"/>
      <c r="M42" s="2746"/>
      <c r="N42" s="2280"/>
    </row>
    <row r="43" spans="1:16">
      <c r="A43" s="2297"/>
      <c r="B43" s="2298"/>
      <c r="C43" s="2304"/>
      <c r="D43" s="2308"/>
      <c r="E43" s="2300"/>
      <c r="F43" s="2301"/>
      <c r="G43" s="2298" t="s">
        <v>1563</v>
      </c>
      <c r="H43" s="2309">
        <f t="shared" si="5"/>
        <v>2015</v>
      </c>
      <c r="I43" s="2300">
        <f>-'נספח 2 לטופס 1 - פירוט ב'!J12</f>
        <v>-1435</v>
      </c>
      <c r="J43" s="2302"/>
      <c r="K43" s="2303"/>
      <c r="L43" s="2654"/>
      <c r="M43" s="2746"/>
      <c r="N43" s="2280"/>
    </row>
    <row r="44" spans="1:16">
      <c r="A44" s="2297"/>
      <c r="B44" s="2298"/>
      <c r="C44" s="2304"/>
      <c r="D44" s="2308"/>
      <c r="E44" s="2300"/>
      <c r="F44" s="2301"/>
      <c r="G44" s="2298" t="s">
        <v>1562</v>
      </c>
      <c r="H44" s="2309">
        <f t="shared" si="5"/>
        <v>2015</v>
      </c>
      <c r="I44" s="2300">
        <f>-'נספח 2 לטופס 1 - פירוט ב'!G12</f>
        <v>-24256</v>
      </c>
      <c r="J44" s="2302"/>
      <c r="K44" s="2303"/>
      <c r="L44" s="2654"/>
      <c r="M44" s="2746"/>
      <c r="N44" s="2280"/>
    </row>
    <row r="45" spans="1:16" ht="20.399999999999999">
      <c r="A45" s="2297"/>
      <c r="B45" s="2298"/>
      <c r="C45" s="2304"/>
      <c r="D45" s="2308"/>
      <c r="E45" s="2300"/>
      <c r="F45" s="2301"/>
      <c r="G45" s="2298" t="s">
        <v>782</v>
      </c>
      <c r="H45" s="2308"/>
      <c r="I45" s="2653">
        <f>SUM(I42:I44)</f>
        <v>45760</v>
      </c>
      <c r="J45" s="2302" t="str">
        <f>IF($E$42=$I$45,$B$3,"")</f>
        <v>תקין</v>
      </c>
      <c r="K45" s="2303" t="str">
        <f>IF($E$42&lt;&gt;$I$45,$E$42-$I$45,"")</f>
        <v/>
      </c>
      <c r="L45" s="2729" t="str">
        <f>IF(E42&lt;&gt;I45,P45,"")</f>
        <v/>
      </c>
      <c r="M45" s="2746"/>
      <c r="N45" s="2280"/>
      <c r="P45" s="2665" t="s">
        <v>1565</v>
      </c>
    </row>
    <row r="46" spans="1:16">
      <c r="A46" s="3274">
        <v>29</v>
      </c>
      <c r="B46" s="2298" t="s">
        <v>1216</v>
      </c>
      <c r="C46" s="2304" t="s">
        <v>1561</v>
      </c>
      <c r="D46" s="2298">
        <f>$F$3</f>
        <v>2015</v>
      </c>
      <c r="E46" s="2300">
        <f>'ביאור 4'!$E$23</f>
        <v>45760</v>
      </c>
      <c r="F46" s="2325" t="s">
        <v>148</v>
      </c>
      <c r="G46" s="2298" t="s">
        <v>2170</v>
      </c>
      <c r="H46" s="2309">
        <f t="shared" si="5"/>
        <v>2015</v>
      </c>
      <c r="I46" s="2300">
        <f>'נספח 3 לטופס 2'!G9</f>
        <v>47195</v>
      </c>
      <c r="J46" s="2302"/>
      <c r="K46" s="2303"/>
      <c r="L46" s="2729"/>
      <c r="M46" s="2746"/>
      <c r="N46" s="2280"/>
    </row>
    <row r="47" spans="1:16">
      <c r="A47" s="2297"/>
      <c r="B47" s="2309"/>
      <c r="C47" s="2324"/>
      <c r="D47" s="3253"/>
      <c r="E47" s="2300"/>
      <c r="F47" s="3254" t="s">
        <v>1210</v>
      </c>
      <c r="G47" s="2298" t="s">
        <v>860</v>
      </c>
      <c r="H47" s="2309">
        <f t="shared" si="5"/>
        <v>2015</v>
      </c>
      <c r="I47" s="2300">
        <f>-'נספח 2 לטופס 1 - פירוט ב'!J12</f>
        <v>-1435</v>
      </c>
      <c r="J47" s="2302"/>
      <c r="K47" s="2303"/>
      <c r="L47" s="2729"/>
      <c r="M47" s="2746"/>
      <c r="N47" s="2280"/>
    </row>
    <row r="48" spans="1:16" ht="30.6">
      <c r="A48" s="2297"/>
      <c r="B48" s="2309"/>
      <c r="C48" s="2324"/>
      <c r="D48" s="3253"/>
      <c r="E48" s="2300"/>
      <c r="F48" s="3254"/>
      <c r="G48" s="2298"/>
      <c r="H48" s="3253"/>
      <c r="I48" s="2653">
        <f>SUM(I46:I47)</f>
        <v>45760</v>
      </c>
      <c r="J48" s="2302" t="str">
        <f>IF(E46=I48,$B$3,"")</f>
        <v>תקין</v>
      </c>
      <c r="K48" s="2303" t="str">
        <f>IF(E46&lt;&gt;I48,E46-I48,"")</f>
        <v/>
      </c>
      <c r="L48" s="2729" t="str">
        <f>IF(E46&lt;&gt;I48,P48,"")</f>
        <v/>
      </c>
      <c r="M48" s="2746"/>
      <c r="N48" s="2280"/>
      <c r="P48" s="2665" t="s">
        <v>2210</v>
      </c>
    </row>
    <row r="49" spans="1:16">
      <c r="A49" s="3274">
        <v>30</v>
      </c>
      <c r="B49" s="2298" t="s">
        <v>1216</v>
      </c>
      <c r="C49" s="2304" t="s">
        <v>1561</v>
      </c>
      <c r="D49" s="2298">
        <f>$G$3</f>
        <v>2014</v>
      </c>
      <c r="E49" s="2300">
        <f>'ביאור 4'!$G$23</f>
        <v>44835</v>
      </c>
      <c r="F49" s="2325" t="s">
        <v>148</v>
      </c>
      <c r="G49" s="2298" t="s">
        <v>2170</v>
      </c>
      <c r="H49" s="2298">
        <f t="shared" ref="H49:H50" si="6">$G$3</f>
        <v>2014</v>
      </c>
      <c r="I49" s="2300">
        <f>'נספח 3 לטופס 2'!M9</f>
        <v>46221</v>
      </c>
      <c r="J49" s="2302"/>
      <c r="K49" s="2303"/>
      <c r="L49" s="2729"/>
      <c r="M49" s="2746"/>
      <c r="N49" s="2280"/>
    </row>
    <row r="50" spans="1:16" ht="26.4">
      <c r="A50" s="2297"/>
      <c r="B50" s="2309"/>
      <c r="C50" s="2324"/>
      <c r="D50" s="3253"/>
      <c r="E50" s="2300"/>
      <c r="F50" s="3254" t="s">
        <v>1210</v>
      </c>
      <c r="G50" s="3279" t="s">
        <v>2202</v>
      </c>
      <c r="H50" s="2298">
        <f t="shared" si="6"/>
        <v>2014</v>
      </c>
      <c r="I50" s="2652">
        <v>1386</v>
      </c>
      <c r="J50" s="2302"/>
      <c r="K50" s="2303"/>
      <c r="L50" s="2729"/>
      <c r="M50" s="2746"/>
      <c r="N50" s="2280"/>
    </row>
    <row r="51" spans="1:16" ht="30.6">
      <c r="A51" s="2297"/>
      <c r="B51" s="2309"/>
      <c r="C51" s="2324"/>
      <c r="D51" s="3253"/>
      <c r="E51" s="2300"/>
      <c r="F51" s="3254"/>
      <c r="G51" s="2298"/>
      <c r="H51" s="3253"/>
      <c r="I51" s="2653">
        <f>+I49-I50</f>
        <v>44835</v>
      </c>
      <c r="J51" s="2302" t="str">
        <f>IF(E49=I51,$B$3,"")</f>
        <v>תקין</v>
      </c>
      <c r="K51" s="2303" t="str">
        <f>IF(E49&lt;&gt;I51,E49-I51,"")</f>
        <v/>
      </c>
      <c r="L51" s="2729" t="str">
        <f>IF(E49&lt;&gt;I51,P51,"")</f>
        <v/>
      </c>
      <c r="M51" s="2746"/>
      <c r="N51" s="2280"/>
      <c r="P51" s="2665" t="s">
        <v>2210</v>
      </c>
    </row>
    <row r="52" spans="1:16">
      <c r="A52" s="3274">
        <v>31</v>
      </c>
      <c r="B52" s="2309" t="s">
        <v>1213</v>
      </c>
      <c r="C52" s="2324" t="s">
        <v>1214</v>
      </c>
      <c r="D52" s="2309">
        <f>$F$3</f>
        <v>2015</v>
      </c>
      <c r="E52" s="2300">
        <f>+'טופס 2'!G11</f>
        <v>539906</v>
      </c>
      <c r="F52" s="2325" t="s">
        <v>148</v>
      </c>
      <c r="G52" s="2298" t="s">
        <v>2148</v>
      </c>
      <c r="H52" s="2309">
        <f t="shared" ref="H52:H53" si="7">$F$3</f>
        <v>2015</v>
      </c>
      <c r="I52" s="2300">
        <f>+'נספח 3 לטופס 2'!G8</f>
        <v>492711</v>
      </c>
      <c r="J52" s="2302"/>
      <c r="K52" s="2303"/>
      <c r="L52" s="2729"/>
      <c r="M52" s="2746"/>
      <c r="N52" s="2280"/>
    </row>
    <row r="53" spans="1:16">
      <c r="A53" s="2297"/>
      <c r="B53" s="2298"/>
      <c r="C53" s="2304"/>
      <c r="D53" s="2308"/>
      <c r="E53" s="2300"/>
      <c r="F53" s="2301"/>
      <c r="G53" s="2298" t="s">
        <v>2149</v>
      </c>
      <c r="H53" s="2309">
        <f t="shared" si="7"/>
        <v>2015</v>
      </c>
      <c r="I53" s="2300">
        <f>+'נספח 3 לטופס 2'!G9</f>
        <v>47195</v>
      </c>
      <c r="J53" s="2302"/>
      <c r="K53" s="2303"/>
      <c r="L53" s="2729"/>
      <c r="M53" s="2746"/>
      <c r="N53" s="2280"/>
    </row>
    <row r="54" spans="1:16" ht="30.6">
      <c r="A54" s="2297"/>
      <c r="B54" s="2298"/>
      <c r="C54" s="2304"/>
      <c r="D54" s="2308"/>
      <c r="E54" s="2300"/>
      <c r="F54" s="2301"/>
      <c r="G54" s="2298"/>
      <c r="H54" s="2308"/>
      <c r="I54" s="2653">
        <f>SUM(I52:I53)</f>
        <v>539906</v>
      </c>
      <c r="J54" s="2302" t="str">
        <f>IF(E52=I54,$B$3,"")</f>
        <v>תקין</v>
      </c>
      <c r="K54" s="2303" t="str">
        <f>IF(E52&lt;&gt;I54,E52-I54,"")</f>
        <v/>
      </c>
      <c r="L54" s="2729" t="str">
        <f>IF(E52&lt;&gt;I54,P54,"")</f>
        <v/>
      </c>
      <c r="M54" s="2746"/>
      <c r="N54" s="2280"/>
      <c r="P54" s="2665" t="s">
        <v>2150</v>
      </c>
    </row>
    <row r="55" spans="1:16">
      <c r="A55" s="3274">
        <v>32</v>
      </c>
      <c r="B55" s="2309" t="s">
        <v>1213</v>
      </c>
      <c r="C55" s="2324" t="s">
        <v>1214</v>
      </c>
      <c r="D55" s="2309">
        <f>$G$3</f>
        <v>2014</v>
      </c>
      <c r="E55" s="2300">
        <f>+'טופס 2'!I11</f>
        <v>500054</v>
      </c>
      <c r="F55" s="2325" t="s">
        <v>148</v>
      </c>
      <c r="G55" s="2298" t="s">
        <v>2148</v>
      </c>
      <c r="H55" s="2309">
        <f t="shared" ref="H55:H56" si="8">$G$3</f>
        <v>2014</v>
      </c>
      <c r="I55" s="2300">
        <f>+'נספח 3 לטופס 2'!M8</f>
        <v>453833</v>
      </c>
      <c r="J55" s="2302"/>
      <c r="K55" s="2303"/>
      <c r="L55" s="2729"/>
      <c r="M55" s="2746"/>
      <c r="N55" s="2280"/>
    </row>
    <row r="56" spans="1:16">
      <c r="A56" s="2297"/>
      <c r="B56" s="2298"/>
      <c r="C56" s="2304"/>
      <c r="D56" s="2308"/>
      <c r="E56" s="2300"/>
      <c r="F56" s="2301"/>
      <c r="G56" s="2298" t="s">
        <v>2149</v>
      </c>
      <c r="H56" s="2309">
        <f t="shared" si="8"/>
        <v>2014</v>
      </c>
      <c r="I56" s="2300">
        <f>+'נספח 3 לטופס 2'!M9</f>
        <v>46221</v>
      </c>
      <c r="J56" s="2302"/>
      <c r="K56" s="2303"/>
      <c r="L56" s="2729"/>
      <c r="M56" s="2746"/>
      <c r="N56" s="2280"/>
    </row>
    <row r="57" spans="1:16" ht="30.6">
      <c r="A57" s="2297"/>
      <c r="B57" s="2298"/>
      <c r="C57" s="2304"/>
      <c r="D57" s="2308"/>
      <c r="E57" s="2300"/>
      <c r="F57" s="2301"/>
      <c r="G57" s="2298"/>
      <c r="H57" s="2308"/>
      <c r="I57" s="2653">
        <f>SUM(I55:I56)</f>
        <v>500054</v>
      </c>
      <c r="J57" s="2302" t="str">
        <f>IF(E55=I57,$B$3,"")</f>
        <v>תקין</v>
      </c>
      <c r="K57" s="2303" t="str">
        <f>IF(E55&lt;&gt;I57,E55-I57,"")</f>
        <v/>
      </c>
      <c r="L57" s="2729" t="str">
        <f>IF(E55&lt;&gt;I57,P57,"")</f>
        <v/>
      </c>
      <c r="M57" s="2746"/>
      <c r="N57" s="2280"/>
      <c r="P57" s="2665" t="s">
        <v>2150</v>
      </c>
    </row>
    <row r="58" spans="1:16" ht="40.799999999999997">
      <c r="A58" s="2297">
        <v>33</v>
      </c>
      <c r="B58" s="2298" t="s">
        <v>1213</v>
      </c>
      <c r="C58" s="2304" t="s">
        <v>1218</v>
      </c>
      <c r="D58" s="2298">
        <f>$F$3</f>
        <v>2015</v>
      </c>
      <c r="E58" s="2300">
        <f>'טופס 2'!G33</f>
        <v>144463</v>
      </c>
      <c r="F58" s="2305" t="s">
        <v>1213</v>
      </c>
      <c r="G58" s="2298" t="s">
        <v>1219</v>
      </c>
      <c r="H58" s="2298">
        <f>$F$3</f>
        <v>2015</v>
      </c>
      <c r="I58" s="2300">
        <f>'טופס 2'!P33</f>
        <v>259979</v>
      </c>
      <c r="J58" s="2302" t="str">
        <f>IF($E58&lt;&gt;0, IF( $I58 / $E58 &gt; I3,"",$B$3),"")</f>
        <v/>
      </c>
      <c r="K58" s="2326">
        <f>IF($E58&lt;&gt;0,IF($I58 / $E58 &lt;= I3,"",$I58 / $E58),"")</f>
        <v>1.799623432989762</v>
      </c>
      <c r="L58" s="2729" t="str">
        <f>IF($E58&lt;&gt;0,IF($I58 / $E58 &lt;= I3,"",P58),"")</f>
        <v>יש להסביר את היחס החריג בין תקבולים לתשלומים</v>
      </c>
      <c r="M58" s="2746" t="s">
        <v>2476</v>
      </c>
      <c r="N58" s="2280"/>
      <c r="P58" s="2665" t="s">
        <v>123</v>
      </c>
    </row>
    <row r="59" spans="1:16" ht="40.799999999999997">
      <c r="A59" s="2297">
        <v>34</v>
      </c>
      <c r="B59" s="2298" t="s">
        <v>1213</v>
      </c>
      <c r="C59" s="2304" t="s">
        <v>1218</v>
      </c>
      <c r="D59" s="2298">
        <f>$G$3</f>
        <v>2014</v>
      </c>
      <c r="E59" s="2300">
        <f>'טופס 2'!I33</f>
        <v>139083</v>
      </c>
      <c r="F59" s="2305" t="s">
        <v>1213</v>
      </c>
      <c r="G59" s="2298" t="s">
        <v>1219</v>
      </c>
      <c r="H59" s="2298">
        <f>$G$3</f>
        <v>2014</v>
      </c>
      <c r="I59" s="2300">
        <f>'טופס 2'!R33</f>
        <v>246128</v>
      </c>
      <c r="J59" s="2302" t="str">
        <f>IF($E59&lt;&gt;0, IF( $I59 / $E59 &gt; I3,"",$B$3),"")</f>
        <v/>
      </c>
      <c r="K59" s="2326">
        <f>IF($E59&lt;&gt;0,IF($I59 / $E59 &lt;= I3,"",$I59 / $E59),"")</f>
        <v>1.7696483394807416</v>
      </c>
      <c r="L59" s="2729" t="str">
        <f>IF($E59&lt;&gt;0,IF($I59 / $E59 &lt;= I3,"",P59),"")</f>
        <v>יש להסביר את היחס החריג בין תקבולים לתשלומים</v>
      </c>
      <c r="M59" s="2746" t="s">
        <v>2476</v>
      </c>
      <c r="N59" s="2280"/>
      <c r="P59" s="2665" t="s">
        <v>123</v>
      </c>
    </row>
    <row r="60" spans="1:16" ht="40.799999999999997">
      <c r="A60" s="2297">
        <v>35</v>
      </c>
      <c r="B60" s="2298" t="s">
        <v>1213</v>
      </c>
      <c r="C60" s="2304" t="s">
        <v>1220</v>
      </c>
      <c r="D60" s="2298">
        <f>$F$3</f>
        <v>2015</v>
      </c>
      <c r="E60" s="2300">
        <f>'טופס 2'!G36</f>
        <v>52940</v>
      </c>
      <c r="F60" s="2305" t="s">
        <v>1213</v>
      </c>
      <c r="G60" s="2298" t="s">
        <v>1221</v>
      </c>
      <c r="H60" s="2298">
        <f>$F$3</f>
        <v>2015</v>
      </c>
      <c r="I60" s="2300">
        <f>'טופס 2'!P36</f>
        <v>87479</v>
      </c>
      <c r="J60" s="2302" t="str">
        <f>IF($E60&lt;&gt;0, IF( $I60 / $E60 &gt; I3,"",$B$3),"")</f>
        <v/>
      </c>
      <c r="K60" s="2326">
        <f>IF($E60&lt;&gt;0,IF($I60 / $E60 &lt;= I3,"",$I60 / $E60),"")</f>
        <v>1.6524178315073668</v>
      </c>
      <c r="L60" s="2729" t="str">
        <f>IF($E60&lt;&gt;0,IF($I60 / $E60 &lt;= I3,"",P60),"")</f>
        <v>יש להסביר את היחס החריג בין תקבולים לתשלומים</v>
      </c>
      <c r="M60" s="2746" t="s">
        <v>2476</v>
      </c>
      <c r="N60" s="2280"/>
      <c r="P60" s="2665" t="s">
        <v>123</v>
      </c>
    </row>
    <row r="61" spans="1:16" ht="40.799999999999997">
      <c r="A61" s="2297">
        <v>36</v>
      </c>
      <c r="B61" s="2298" t="s">
        <v>1213</v>
      </c>
      <c r="C61" s="2304" t="s">
        <v>1220</v>
      </c>
      <c r="D61" s="2298">
        <f>$G$3</f>
        <v>2014</v>
      </c>
      <c r="E61" s="2300">
        <f>'טופס 2'!I36</f>
        <v>49943</v>
      </c>
      <c r="F61" s="2305" t="s">
        <v>1213</v>
      </c>
      <c r="G61" s="2298" t="s">
        <v>1221</v>
      </c>
      <c r="H61" s="2298">
        <f>$G$3</f>
        <v>2014</v>
      </c>
      <c r="I61" s="2300">
        <f>'טופס 2'!R36</f>
        <v>81945</v>
      </c>
      <c r="J61" s="2302" t="str">
        <f>IF($E61&lt;&gt;0, IF( $I61 / $E61 &gt; I3,"",$B$3),"")</f>
        <v/>
      </c>
      <c r="K61" s="2326">
        <f>IF($E61&lt;&gt;0,IF($I61 / $E61 &lt;= I3,"",$I61 / $E61),"")</f>
        <v>1.6407704783453136</v>
      </c>
      <c r="L61" s="2729" t="str">
        <f>IF($E61&lt;&gt;0,IF($I61 / $E61 &lt;= I3,"",P61),"")</f>
        <v>יש להסביר את היחס החריג בין תקבולים לתשלומים</v>
      </c>
      <c r="M61" s="2746" t="s">
        <v>2476</v>
      </c>
      <c r="N61" s="2280"/>
      <c r="P61" s="2665" t="s">
        <v>123</v>
      </c>
    </row>
    <row r="62" spans="1:16" ht="20.399999999999999">
      <c r="A62" s="2297">
        <v>37</v>
      </c>
      <c r="B62" s="2298" t="s">
        <v>1213</v>
      </c>
      <c r="C62" s="2304" t="s">
        <v>1222</v>
      </c>
      <c r="D62" s="2298">
        <f>$F$3</f>
        <v>2015</v>
      </c>
      <c r="E62" s="2300">
        <f>'טופס 2'!G43</f>
        <v>2879</v>
      </c>
      <c r="F62" s="2301" t="s">
        <v>1210</v>
      </c>
      <c r="G62" s="2298" t="str">
        <f>IF('נספח 2 לטופס 1'!$H$19&lt;&gt;0,"סה''כ גביות אגרת מים",IF('נספח 2 לטופס 1'!$H$16&lt;&gt;0,"סה''כ גביות אגרת מים וביוב","סה''כ גביות אגרת מים"))</f>
        <v>סה''כ גביות אגרת מים</v>
      </c>
      <c r="H62" s="2298">
        <f>$F$3</f>
        <v>2015</v>
      </c>
      <c r="I62" s="2300">
        <f>IF('נספח 2 לטופס 1'!$H$19&lt;&gt;0,'נספח 2 לטופס 1'!$H$19,IF('נספח 2 לטופס 1'!$H$16&lt;&gt;0,'נספח 2 לטופס 1'!$H$16,'נספח 2 לטופס 1'!$H$19))</f>
        <v>832</v>
      </c>
      <c r="J62" s="2302" t="str">
        <f>IF(E62&gt;=I62,$B$3,"")</f>
        <v>תקין</v>
      </c>
      <c r="K62" s="2303" t="str">
        <f>IF(E62&gt;=I62,"",E62-I62)</f>
        <v/>
      </c>
      <c r="L62" s="2729" t="str">
        <f t="shared" ref="L62:L67" si="9">IF(E62&gt;=I62,"",P62)</f>
        <v/>
      </c>
      <c r="M62" s="2746"/>
      <c r="N62" s="2280"/>
      <c r="P62" s="2665" t="s">
        <v>124</v>
      </c>
    </row>
    <row r="63" spans="1:16" ht="20.399999999999999">
      <c r="A63" s="2297">
        <v>38</v>
      </c>
      <c r="B63" s="2298" t="s">
        <v>1213</v>
      </c>
      <c r="C63" s="2304" t="s">
        <v>1223</v>
      </c>
      <c r="D63" s="2298">
        <f>$F$3</f>
        <v>2015</v>
      </c>
      <c r="E63" s="2300">
        <f>'טופס 2'!E17</f>
        <v>0</v>
      </c>
      <c r="F63" s="2305" t="s">
        <v>1224</v>
      </c>
      <c r="G63" s="2298" t="s">
        <v>1225</v>
      </c>
      <c r="H63" s="2298">
        <f>$F$3</f>
        <v>2015</v>
      </c>
      <c r="I63" s="2300">
        <f>'נספח 1 לטופס 2'!D23</f>
        <v>0</v>
      </c>
      <c r="J63" s="2302" t="str">
        <f>IF(E63&gt;=I63,$B$3,"")</f>
        <v>תקין</v>
      </c>
      <c r="K63" s="2303" t="str">
        <f>IF(E63&gt;=I63,"",E63-I63)</f>
        <v/>
      </c>
      <c r="L63" s="2729" t="str">
        <f t="shared" si="9"/>
        <v/>
      </c>
      <c r="M63" s="2746"/>
      <c r="N63" s="2280"/>
      <c r="P63" s="2665" t="s">
        <v>125</v>
      </c>
    </row>
    <row r="64" spans="1:16" ht="20.399999999999999">
      <c r="A64" s="2297">
        <v>39</v>
      </c>
      <c r="B64" s="2298" t="s">
        <v>1213</v>
      </c>
      <c r="C64" s="2304" t="s">
        <v>1226</v>
      </c>
      <c r="D64" s="2298">
        <f>$F$3</f>
        <v>2015</v>
      </c>
      <c r="E64" s="2300">
        <f>'טופס 2'!G17</f>
        <v>0</v>
      </c>
      <c r="F64" s="2305" t="s">
        <v>1224</v>
      </c>
      <c r="G64" s="2298" t="s">
        <v>1227</v>
      </c>
      <c r="H64" s="2298">
        <f>$F$3</f>
        <v>2015</v>
      </c>
      <c r="I64" s="2300">
        <f>'נספח 1 לטופס 2'!F23</f>
        <v>0</v>
      </c>
      <c r="J64" s="2302" t="str">
        <f>IF(E64&gt;=I64,$B$3,"")</f>
        <v>תקין</v>
      </c>
      <c r="K64" s="2303" t="str">
        <f>IF(E64&gt;=I64,"",E64-I64)</f>
        <v/>
      </c>
      <c r="L64" s="2729" t="str">
        <f t="shared" si="9"/>
        <v/>
      </c>
      <c r="M64" s="2746"/>
      <c r="N64" s="2280"/>
      <c r="P64" s="2665" t="s">
        <v>125</v>
      </c>
    </row>
    <row r="65" spans="1:16" ht="20.399999999999999">
      <c r="A65" s="2297">
        <v>40</v>
      </c>
      <c r="B65" s="2298" t="s">
        <v>1213</v>
      </c>
      <c r="C65" s="2304" t="s">
        <v>1226</v>
      </c>
      <c r="D65" s="2298">
        <f>$G$3</f>
        <v>2014</v>
      </c>
      <c r="E65" s="2300">
        <f>'טופס 2'!I17</f>
        <v>0</v>
      </c>
      <c r="F65" s="2305" t="s">
        <v>1224</v>
      </c>
      <c r="G65" s="2298" t="s">
        <v>1227</v>
      </c>
      <c r="H65" s="2298">
        <f>$G$3</f>
        <v>2014</v>
      </c>
      <c r="I65" s="2300">
        <f>'נספח 1 לטופס 2'!N23</f>
        <v>0</v>
      </c>
      <c r="J65" s="2302" t="str">
        <f>IF(E65&gt;=I65,$B$3,"")</f>
        <v>תקין</v>
      </c>
      <c r="K65" s="2303" t="str">
        <f>IF(E65&gt;=I65,"",E65-I65)</f>
        <v/>
      </c>
      <c r="L65" s="2729" t="str">
        <f t="shared" si="9"/>
        <v/>
      </c>
      <c r="M65" s="2746"/>
      <c r="N65" s="2280"/>
      <c r="P65" s="2665" t="s">
        <v>125</v>
      </c>
    </row>
    <row r="66" spans="1:16" ht="25.5" customHeight="1">
      <c r="A66" s="2297">
        <v>41</v>
      </c>
      <c r="B66" s="2298" t="s">
        <v>1213</v>
      </c>
      <c r="C66" s="2304" t="s">
        <v>1228</v>
      </c>
      <c r="D66" s="2298">
        <f>$F$3</f>
        <v>2015</v>
      </c>
      <c r="E66" s="2300">
        <f>'טופס 2'!G43</f>
        <v>2879</v>
      </c>
      <c r="F66" s="2305" t="s">
        <v>1210</v>
      </c>
      <c r="G66" s="2298" t="str">
        <f>IF('נספח 2 לטופס 1'!$H$19&lt;&gt;0,"סה''כ גביות - אגרת מים",IF('נספח 2 לטופס 1'!$H$16&lt;&gt;0,"סה''כ גביות - אגרת מים וביוב","סה''כ גביות - אגרת מים"))</f>
        <v>סה''כ גביות - אגרת מים</v>
      </c>
      <c r="H66" s="2298">
        <f>$F$3</f>
        <v>2015</v>
      </c>
      <c r="I66" s="2300">
        <f>IF('נספח 2 לטופס 1'!$H$19&lt;&gt;0,'נספח 2 לטופס 1'!$H$19,IF('נספח 2 לטופס 1'!$H$16&lt;&gt;0,'נספח 2 לטופס 1'!$H$16,'נספח 2 לטופס 1'!$H$19))</f>
        <v>832</v>
      </c>
      <c r="J66" s="2302" t="str">
        <f>IF($E66&gt;=$I66,$B$3,"")</f>
        <v>תקין</v>
      </c>
      <c r="K66" s="2303" t="str">
        <f>IF($E66&gt;=$I66,"",E66-I66)</f>
        <v/>
      </c>
      <c r="L66" s="2729" t="str">
        <f t="shared" si="9"/>
        <v/>
      </c>
      <c r="M66" s="2746"/>
      <c r="N66" s="2280"/>
    </row>
    <row r="67" spans="1:16" ht="25.5" customHeight="1">
      <c r="A67" s="2297">
        <v>42</v>
      </c>
      <c r="B67" s="2298" t="s">
        <v>1213</v>
      </c>
      <c r="C67" s="2304" t="s">
        <v>1229</v>
      </c>
      <c r="D67" s="2298">
        <f>$F$3</f>
        <v>2015</v>
      </c>
      <c r="E67" s="2300">
        <f>'טופס 2'!G49</f>
        <v>10067</v>
      </c>
      <c r="F67" s="2305" t="s">
        <v>1210</v>
      </c>
      <c r="G67" s="2298" t="str">
        <f>IF('נספח 2 לטופס 1'!$H$20&lt;&gt;0,"סה''כ גביות - אגרת ביוב",IF('נספח 2 לטופס 1'!$H$16&lt;&gt;0,"סה''כ גביות - אגרת מים וביוב","סה''כ גביות - אגרת ביוב"))</f>
        <v>סה''כ גביות - אגרת ביוב</v>
      </c>
      <c r="H67" s="2298">
        <f>$F$3</f>
        <v>2015</v>
      </c>
      <c r="I67" s="2300">
        <f>IF('נספח 2 לטופס 1'!$H$20&lt;&gt;0,'נספח 2 לטופס 1'!$H$20,IF('נספח 2 לטופס 1'!$H$16&lt;&gt;0,'נספח 2 לטופס 1'!$H$16,'נספח 2 לטופס 1'!$H$20))</f>
        <v>49</v>
      </c>
      <c r="J67" s="2302" t="str">
        <f>IF($E67&gt;=$I67,$B$3,"")</f>
        <v>תקין</v>
      </c>
      <c r="K67" s="2303" t="str">
        <f>IF($E67&gt;=$I67,"",E67-I67)</f>
        <v/>
      </c>
      <c r="L67" s="2729" t="str">
        <f t="shared" si="9"/>
        <v/>
      </c>
      <c r="M67" s="2746"/>
      <c r="N67" s="2280"/>
      <c r="P67" s="2665" t="s">
        <v>126</v>
      </c>
    </row>
    <row r="68" spans="1:16" ht="25.5" customHeight="1">
      <c r="A68" s="2297">
        <v>43</v>
      </c>
      <c r="B68" s="2965" t="s">
        <v>1213</v>
      </c>
      <c r="C68" s="2966" t="s">
        <v>659</v>
      </c>
      <c r="D68" s="2298">
        <f>$F$3</f>
        <v>2015</v>
      </c>
      <c r="E68" s="2962">
        <f>'טופס 2'!E33</f>
        <v>145333</v>
      </c>
      <c r="F68" s="2967" t="s">
        <v>148</v>
      </c>
      <c r="G68" s="2965" t="s">
        <v>662</v>
      </c>
      <c r="H68" s="2298">
        <f>$F$3</f>
        <v>2015</v>
      </c>
      <c r="I68" s="2962">
        <f>'נספח 3 לטופס 2'!E12</f>
        <v>136736</v>
      </c>
      <c r="J68" s="2651"/>
      <c r="K68" s="2982"/>
      <c r="L68" s="2729"/>
      <c r="M68" s="2964"/>
      <c r="N68" s="2280"/>
    </row>
    <row r="69" spans="1:16" ht="25.5" customHeight="1">
      <c r="A69" s="2961"/>
      <c r="B69" s="2965"/>
      <c r="C69" s="2966"/>
      <c r="D69" s="2298"/>
      <c r="E69" s="2962"/>
      <c r="F69" s="2967" t="s">
        <v>1278</v>
      </c>
      <c r="G69" s="2965" t="s">
        <v>663</v>
      </c>
      <c r="H69" s="2298">
        <f>$F$3</f>
        <v>2015</v>
      </c>
      <c r="I69" s="2962">
        <f>'נתונים לנספח 1 לטופס 2'!C10</f>
        <v>6637</v>
      </c>
      <c r="J69" s="2651"/>
      <c r="K69" s="2982"/>
      <c r="L69" s="2729"/>
      <c r="M69" s="2964"/>
      <c r="N69" s="2280"/>
    </row>
    <row r="70" spans="1:16" ht="30.6">
      <c r="A70" s="2961"/>
      <c r="B70" s="2965"/>
      <c r="C70" s="2966"/>
      <c r="D70" s="2298"/>
      <c r="E70" s="2962"/>
      <c r="F70" s="2963"/>
      <c r="G70" s="2965" t="s">
        <v>782</v>
      </c>
      <c r="H70" s="2298"/>
      <c r="I70" s="2653">
        <f>SUM(I68:I69)</f>
        <v>143373</v>
      </c>
      <c r="J70" s="2981" t="str">
        <f>IF($I70&lt;=$E68,$B$3,"")</f>
        <v>תקין</v>
      </c>
      <c r="K70" s="2982" t="str">
        <f>IF($I70&lt;=$E68,"",E68-I70)</f>
        <v/>
      </c>
      <c r="L70" s="2729" t="str">
        <f>IF($I70&lt;=$E68,"",P70)</f>
        <v/>
      </c>
      <c r="M70" s="2964"/>
      <c r="N70" s="2280"/>
      <c r="P70" s="2665" t="s">
        <v>661</v>
      </c>
    </row>
    <row r="71" spans="1:16" ht="25.5" customHeight="1">
      <c r="A71" s="2961">
        <v>44</v>
      </c>
      <c r="B71" s="2965" t="s">
        <v>1213</v>
      </c>
      <c r="C71" s="2966" t="s">
        <v>660</v>
      </c>
      <c r="D71" s="2298">
        <f>$F$3</f>
        <v>2015</v>
      </c>
      <c r="E71" s="2962">
        <f>'טופס 2'!G33</f>
        <v>144463</v>
      </c>
      <c r="F71" s="2967" t="s">
        <v>148</v>
      </c>
      <c r="G71" s="2965" t="s">
        <v>664</v>
      </c>
      <c r="H71" s="2298">
        <f>$F$3</f>
        <v>2015</v>
      </c>
      <c r="I71" s="2962">
        <f>'נספח 3 לטופס 2'!G12</f>
        <v>135863</v>
      </c>
      <c r="J71" s="2651"/>
      <c r="K71" s="2982"/>
      <c r="L71" s="2729"/>
      <c r="M71" s="2964"/>
      <c r="N71" s="2280"/>
    </row>
    <row r="72" spans="1:16" ht="25.5" customHeight="1">
      <c r="A72" s="2961"/>
      <c r="B72" s="2965"/>
      <c r="C72" s="2966"/>
      <c r="D72" s="2298"/>
      <c r="E72" s="2962"/>
      <c r="F72" s="2967" t="s">
        <v>1278</v>
      </c>
      <c r="G72" s="2965" t="s">
        <v>665</v>
      </c>
      <c r="H72" s="2298">
        <f>$F$3</f>
        <v>2015</v>
      </c>
      <c r="I72" s="2962">
        <f>'נתונים לנספח 1 לטופס 2'!D10</f>
        <v>6796</v>
      </c>
      <c r="J72" s="2651"/>
      <c r="K72" s="2982"/>
      <c r="L72" s="2729"/>
      <c r="M72" s="2964"/>
      <c r="N72" s="2280"/>
    </row>
    <row r="73" spans="1:16" ht="30.6">
      <c r="A73" s="2961"/>
      <c r="B73" s="2965"/>
      <c r="C73" s="2966"/>
      <c r="D73" s="2298"/>
      <c r="E73" s="2962"/>
      <c r="F73" s="2963"/>
      <c r="G73" s="2965" t="s">
        <v>782</v>
      </c>
      <c r="H73" s="2980"/>
      <c r="I73" s="2653">
        <f>SUM(I71:I72)</f>
        <v>142659</v>
      </c>
      <c r="J73" s="2981" t="str">
        <f>IF($I73&lt;=$E71,$B$3,"")</f>
        <v>תקין</v>
      </c>
      <c r="K73" s="2982" t="str">
        <f>IF($I73&lt;=$E71,"",E71-I73)</f>
        <v/>
      </c>
      <c r="L73" s="2729" t="str">
        <f>IF($I73&lt;=$E71,"",P73)</f>
        <v/>
      </c>
      <c r="M73" s="2964"/>
      <c r="N73" s="2280"/>
      <c r="P73" s="2665" t="s">
        <v>661</v>
      </c>
    </row>
    <row r="74" spans="1:16" ht="25.5" customHeight="1">
      <c r="A74" s="2961">
        <v>45</v>
      </c>
      <c r="B74" s="2965" t="s">
        <v>1213</v>
      </c>
      <c r="C74" s="2966" t="s">
        <v>660</v>
      </c>
      <c r="D74" s="2298">
        <f>$G$3</f>
        <v>2014</v>
      </c>
      <c r="E74" s="2962">
        <f>'טופס 2'!I33</f>
        <v>139083</v>
      </c>
      <c r="F74" s="2967" t="s">
        <v>148</v>
      </c>
      <c r="G74" s="2965" t="s">
        <v>664</v>
      </c>
      <c r="H74" s="2298">
        <f>$G$3</f>
        <v>2014</v>
      </c>
      <c r="I74" s="2962">
        <f>'נספח 3 לטופס 2'!M12</f>
        <v>130249</v>
      </c>
      <c r="J74" s="2651"/>
      <c r="K74" s="2982"/>
      <c r="L74" s="2729"/>
      <c r="M74" s="2964"/>
      <c r="N74" s="2280"/>
    </row>
    <row r="75" spans="1:16" ht="25.5" customHeight="1">
      <c r="A75" s="2961"/>
      <c r="B75" s="2965"/>
      <c r="C75" s="2966"/>
      <c r="D75" s="2980"/>
      <c r="E75" s="2962"/>
      <c r="F75" s="2967" t="s">
        <v>1278</v>
      </c>
      <c r="G75" s="2965" t="s">
        <v>665</v>
      </c>
      <c r="H75" s="2298">
        <f>$G$3</f>
        <v>2014</v>
      </c>
      <c r="I75" s="2962">
        <f>'נתונים לנספח 1 לטופס 2'!E10</f>
        <v>7107</v>
      </c>
      <c r="J75" s="2651"/>
      <c r="K75" s="2982"/>
      <c r="L75" s="2729"/>
      <c r="M75" s="2964"/>
      <c r="N75" s="2280"/>
    </row>
    <row r="76" spans="1:16" ht="30.6">
      <c r="A76" s="2961"/>
      <c r="B76" s="2965"/>
      <c r="C76" s="2966"/>
      <c r="D76" s="2980"/>
      <c r="E76" s="2962"/>
      <c r="F76" s="2963"/>
      <c r="G76" s="2965" t="s">
        <v>782</v>
      </c>
      <c r="H76" s="2980"/>
      <c r="I76" s="2653">
        <f>SUM(I74:I75)</f>
        <v>137356</v>
      </c>
      <c r="J76" s="2981" t="str">
        <f>IF($I76&lt;=$E74,$B$3,"")</f>
        <v>תקין</v>
      </c>
      <c r="K76" s="2982" t="str">
        <f>IF($I76&lt;=$E74,"",E74-I76)</f>
        <v/>
      </c>
      <c r="L76" s="2729" t="str">
        <f>IF($I76&lt;=$E74,"",P76)</f>
        <v/>
      </c>
      <c r="M76" s="2964"/>
      <c r="N76" s="2280"/>
      <c r="P76" s="2665" t="s">
        <v>661</v>
      </c>
    </row>
    <row r="77" spans="1:16">
      <c r="A77" s="2961">
        <v>46</v>
      </c>
      <c r="B77" s="2965" t="s">
        <v>1213</v>
      </c>
      <c r="C77" s="2966" t="s">
        <v>204</v>
      </c>
      <c r="D77" s="2298">
        <f>$F$3</f>
        <v>2015</v>
      </c>
      <c r="E77" s="2962">
        <f>'טופס 2'!E17</f>
        <v>0</v>
      </c>
      <c r="F77" s="2967" t="s">
        <v>1224</v>
      </c>
      <c r="G77" s="2965" t="s">
        <v>905</v>
      </c>
      <c r="H77" s="2298">
        <f>$F$3</f>
        <v>2015</v>
      </c>
      <c r="I77" s="2962">
        <f>'נספח 1 לטופס 2'!D23</f>
        <v>0</v>
      </c>
      <c r="J77" s="2651"/>
      <c r="K77" s="2982"/>
      <c r="L77" s="2729"/>
      <c r="M77" s="2964"/>
      <c r="N77" s="2280"/>
    </row>
    <row r="78" spans="1:16">
      <c r="A78" s="2961"/>
      <c r="B78" s="2965"/>
      <c r="C78" s="2966"/>
      <c r="D78" s="2980"/>
      <c r="E78" s="2962"/>
      <c r="F78" s="2967" t="s">
        <v>1224</v>
      </c>
      <c r="G78" s="2965" t="s">
        <v>60</v>
      </c>
      <c r="H78" s="2298">
        <f>$F$3</f>
        <v>2015</v>
      </c>
      <c r="I78" s="2962">
        <f>'נספח 1 לטופס 2'!D26</f>
        <v>0</v>
      </c>
      <c r="J78" s="2651"/>
      <c r="K78" s="2982"/>
      <c r="L78" s="2729"/>
      <c r="M78" s="2964"/>
      <c r="N78" s="2280"/>
    </row>
    <row r="79" spans="1:16" ht="30.6">
      <c r="A79" s="2961"/>
      <c r="B79" s="2965"/>
      <c r="C79" s="2966"/>
      <c r="D79" s="2980"/>
      <c r="E79" s="2962"/>
      <c r="F79" s="2963"/>
      <c r="G79" s="2965" t="s">
        <v>782</v>
      </c>
      <c r="H79" s="2980"/>
      <c r="I79" s="2653">
        <f>SUM(I77:I78)</f>
        <v>0</v>
      </c>
      <c r="J79" s="2981" t="str">
        <f>IF($I79&lt;=$E77,$B$3,"")</f>
        <v>תקין</v>
      </c>
      <c r="K79" s="2982" t="str">
        <f>IF($I79&lt;=$E77,"",E77-I79)</f>
        <v/>
      </c>
      <c r="L79" s="2729" t="str">
        <f>IF($I79&lt;=$E77,"",P79)</f>
        <v/>
      </c>
      <c r="M79" s="2964"/>
      <c r="N79" s="2280"/>
      <c r="P79" s="2665" t="s">
        <v>205</v>
      </c>
    </row>
    <row r="80" spans="1:16">
      <c r="A80" s="2961">
        <v>47</v>
      </c>
      <c r="B80" s="2965" t="s">
        <v>1213</v>
      </c>
      <c r="C80" s="2966" t="s">
        <v>206</v>
      </c>
      <c r="D80" s="2298">
        <f>$F$3</f>
        <v>2015</v>
      </c>
      <c r="E80" s="2962">
        <f>'טופס 2'!G17</f>
        <v>0</v>
      </c>
      <c r="F80" s="2967" t="s">
        <v>1224</v>
      </c>
      <c r="G80" s="2965" t="s">
        <v>905</v>
      </c>
      <c r="H80" s="2298">
        <f>$F$3</f>
        <v>2015</v>
      </c>
      <c r="I80" s="2962">
        <f>'נספח 1 לטופס 2'!F23</f>
        <v>0</v>
      </c>
      <c r="J80" s="2981"/>
      <c r="K80" s="2982"/>
      <c r="L80" s="2729"/>
      <c r="M80" s="2964"/>
      <c r="N80" s="2280"/>
    </row>
    <row r="81" spans="1:16">
      <c r="A81" s="2961"/>
      <c r="B81" s="2965"/>
      <c r="C81" s="2966"/>
      <c r="D81" s="2980"/>
      <c r="E81" s="2962"/>
      <c r="F81" s="2967" t="s">
        <v>1224</v>
      </c>
      <c r="G81" s="2965" t="s">
        <v>60</v>
      </c>
      <c r="H81" s="2298">
        <f>$F$3</f>
        <v>2015</v>
      </c>
      <c r="I81" s="2962">
        <f>'נספח 1 לטופס 2'!F26</f>
        <v>0</v>
      </c>
      <c r="J81" s="2981"/>
      <c r="K81" s="2982"/>
      <c r="L81" s="2729"/>
      <c r="M81" s="2964"/>
      <c r="N81" s="2280"/>
    </row>
    <row r="82" spans="1:16" ht="30.6">
      <c r="A82" s="2961"/>
      <c r="B82" s="2965"/>
      <c r="C82" s="2966"/>
      <c r="D82" s="2980"/>
      <c r="E82" s="2962"/>
      <c r="F82" s="2963"/>
      <c r="G82" s="2965"/>
      <c r="H82" s="2980"/>
      <c r="I82" s="2653">
        <f>SUM(I80:I81)</f>
        <v>0</v>
      </c>
      <c r="J82" s="2981" t="str">
        <f>IF($I82&lt;=$E80,$B$3,"")</f>
        <v>תקין</v>
      </c>
      <c r="K82" s="2982" t="str">
        <f>IF($I82&lt;=$E80,"",E80-I82)</f>
        <v/>
      </c>
      <c r="L82" s="2729" t="str">
        <f>IF($I82&lt;=$E80,"",P82)</f>
        <v/>
      </c>
      <c r="M82" s="2964"/>
      <c r="N82" s="2280"/>
      <c r="P82" s="2665" t="s">
        <v>205</v>
      </c>
    </row>
    <row r="83" spans="1:16">
      <c r="A83" s="2961">
        <v>48</v>
      </c>
      <c r="B83" s="2965" t="s">
        <v>1213</v>
      </c>
      <c r="C83" s="2966" t="s">
        <v>206</v>
      </c>
      <c r="D83" s="2298">
        <f>$G$3</f>
        <v>2014</v>
      </c>
      <c r="E83" s="2962">
        <f>'טופס 2'!I17</f>
        <v>0</v>
      </c>
      <c r="F83" s="2967" t="s">
        <v>1224</v>
      </c>
      <c r="G83" s="2965" t="s">
        <v>905</v>
      </c>
      <c r="H83" s="2298">
        <f>$G$3</f>
        <v>2014</v>
      </c>
      <c r="I83" s="2962">
        <f>'נספח 1 לטופס 2'!N23</f>
        <v>0</v>
      </c>
      <c r="J83" s="2981"/>
      <c r="K83" s="2982"/>
      <c r="L83" s="2729"/>
      <c r="M83" s="2964"/>
      <c r="N83" s="2280"/>
    </row>
    <row r="84" spans="1:16">
      <c r="A84" s="2961"/>
      <c r="B84" s="2965"/>
      <c r="C84" s="2966"/>
      <c r="D84" s="2980"/>
      <c r="E84" s="2962"/>
      <c r="F84" s="2967" t="s">
        <v>1224</v>
      </c>
      <c r="G84" s="2965" t="s">
        <v>60</v>
      </c>
      <c r="H84" s="2298">
        <f>$G$3</f>
        <v>2014</v>
      </c>
      <c r="I84" s="2962">
        <f>'נספח 1 לטופס 2'!N26</f>
        <v>0</v>
      </c>
      <c r="J84" s="2981"/>
      <c r="K84" s="2982"/>
      <c r="L84" s="2729"/>
      <c r="M84" s="2964"/>
      <c r="N84" s="2280"/>
    </row>
    <row r="85" spans="1:16" ht="30.6">
      <c r="A85" s="2961"/>
      <c r="B85" s="2965"/>
      <c r="C85" s="2966"/>
      <c r="D85" s="2980"/>
      <c r="E85" s="2962"/>
      <c r="F85" s="2963"/>
      <c r="G85" s="2965"/>
      <c r="H85" s="2980"/>
      <c r="I85" s="2653">
        <f>SUM(I83:I84)</f>
        <v>0</v>
      </c>
      <c r="J85" s="2981" t="str">
        <f>IF($I85&lt;=$E83,$B$3,"")</f>
        <v>תקין</v>
      </c>
      <c r="K85" s="2982" t="str">
        <f>IF($I85&lt;=$E83,"",E83-I85)</f>
        <v/>
      </c>
      <c r="L85" s="2729" t="str">
        <f>IF($I85&lt;=$E83,"",P85)</f>
        <v/>
      </c>
      <c r="M85" s="2964"/>
      <c r="N85" s="2280"/>
      <c r="P85" s="2665" t="s">
        <v>205</v>
      </c>
    </row>
    <row r="86" spans="1:16" hidden="1">
      <c r="A86" s="2961"/>
      <c r="B86" s="2965"/>
      <c r="C86" s="2966"/>
      <c r="D86" s="2980"/>
      <c r="E86" s="2962"/>
      <c r="F86" s="2963"/>
      <c r="G86" s="2965"/>
      <c r="H86" s="2980"/>
      <c r="I86" s="2962"/>
      <c r="J86" s="2981"/>
      <c r="K86" s="2982"/>
      <c r="L86" s="2729"/>
      <c r="M86" s="2964"/>
      <c r="N86" s="2280"/>
    </row>
    <row r="87" spans="1:16" ht="30.6">
      <c r="A87" s="2961">
        <v>49</v>
      </c>
      <c r="B87" s="2965"/>
      <c r="C87" s="2966" t="s">
        <v>1511</v>
      </c>
      <c r="D87" s="2308">
        <f t="shared" ref="D87:D335" si="10">$F$3</f>
        <v>2015</v>
      </c>
      <c r="E87" s="2962">
        <f>'טופס 2'!P43</f>
        <v>2502</v>
      </c>
      <c r="F87" s="3096" t="s">
        <v>1255</v>
      </c>
      <c r="G87" s="2965" t="s">
        <v>924</v>
      </c>
      <c r="H87" s="3095">
        <f t="shared" ref="H87:H88" si="11">$F$3</f>
        <v>2015</v>
      </c>
      <c r="I87" s="3160">
        <f>'נספח 3 לטופס 1'!C32</f>
        <v>463</v>
      </c>
      <c r="J87" s="2302" t="str">
        <f t="shared" ref="J87:J88" si="12">IF(E87&gt;=I87,$B$3,"")</f>
        <v>תקין</v>
      </c>
      <c r="K87" s="2303" t="str">
        <f t="shared" ref="K87:K88" si="13">IF(E87&lt;I87,E87-I87,"")</f>
        <v/>
      </c>
      <c r="L87" s="2729" t="str">
        <f t="shared" ref="L87:L88" si="14">IF(E87&lt;I87,P87,"")</f>
        <v/>
      </c>
      <c r="M87" s="2964"/>
      <c r="N87" s="2280"/>
      <c r="P87" s="2665" t="s">
        <v>1514</v>
      </c>
    </row>
    <row r="88" spans="1:16" ht="30.6">
      <c r="A88" s="2961">
        <v>50</v>
      </c>
      <c r="B88" s="2965"/>
      <c r="C88" s="2966" t="s">
        <v>1512</v>
      </c>
      <c r="D88" s="2308">
        <f t="shared" si="10"/>
        <v>2015</v>
      </c>
      <c r="E88" s="2962">
        <f>'טופס 2'!P49</f>
        <v>11117</v>
      </c>
      <c r="F88" s="3096" t="s">
        <v>1255</v>
      </c>
      <c r="G88" s="2965" t="s">
        <v>1452</v>
      </c>
      <c r="H88" s="3095">
        <f t="shared" si="11"/>
        <v>2015</v>
      </c>
      <c r="I88" s="3160">
        <f>'נספח 3 לטופס 1'!C30</f>
        <v>9369</v>
      </c>
      <c r="J88" s="2302" t="str">
        <f t="shared" si="12"/>
        <v>תקין</v>
      </c>
      <c r="K88" s="2303" t="str">
        <f t="shared" si="13"/>
        <v/>
      </c>
      <c r="L88" s="2729" t="str">
        <f t="shared" si="14"/>
        <v/>
      </c>
      <c r="M88" s="2964"/>
      <c r="N88" s="2280"/>
      <c r="P88" s="2665" t="s">
        <v>1513</v>
      </c>
    </row>
    <row r="89" spans="1:16" ht="7.5" customHeight="1">
      <c r="A89" s="2315"/>
      <c r="B89" s="2316"/>
      <c r="C89" s="2317"/>
      <c r="D89" s="2316"/>
      <c r="E89" s="2318"/>
      <c r="F89" s="2319"/>
      <c r="G89" s="2316"/>
      <c r="H89" s="2316"/>
      <c r="I89" s="2318"/>
      <c r="J89" s="2327"/>
      <c r="K89" s="2320"/>
      <c r="L89" s="2729"/>
      <c r="M89" s="2748"/>
      <c r="N89" s="2280"/>
    </row>
    <row r="90" spans="1:16" ht="15.6">
      <c r="A90" s="2328"/>
      <c r="B90" s="3724" t="s">
        <v>301</v>
      </c>
      <c r="C90" s="3724"/>
      <c r="D90" s="3724"/>
      <c r="E90" s="3724"/>
      <c r="F90" s="3723"/>
      <c r="G90" s="3723"/>
      <c r="H90" s="3723"/>
      <c r="I90" s="3723"/>
      <c r="J90" s="2329"/>
      <c r="K90" s="2329"/>
      <c r="L90" s="2329"/>
      <c r="M90" s="2747"/>
      <c r="N90" s="2280"/>
    </row>
    <row r="91" spans="1:16" ht="55.5" customHeight="1">
      <c r="A91" s="2290">
        <v>51</v>
      </c>
      <c r="B91" s="2291" t="s">
        <v>380</v>
      </c>
      <c r="C91" s="2292" t="s">
        <v>1230</v>
      </c>
      <c r="D91" s="2291">
        <f t="shared" ref="D91:D97" si="15">$F$3</f>
        <v>2015</v>
      </c>
      <c r="E91" s="2293">
        <f>'טופס 3'!$G$32</f>
        <v>1464735</v>
      </c>
      <c r="F91" s="2330" t="s">
        <v>380</v>
      </c>
      <c r="G91" s="2291" t="s">
        <v>1231</v>
      </c>
      <c r="H91" s="2291">
        <f>$G$3</f>
        <v>2014</v>
      </c>
      <c r="I91" s="2293">
        <f>'טופס 3'!I37</f>
        <v>1464735</v>
      </c>
      <c r="J91" s="2331" t="str">
        <f t="shared" ref="J91:J101" si="16">IF(E91=I91,$B$3,"")</f>
        <v>תקין</v>
      </c>
      <c r="K91" s="2296" t="str">
        <f t="shared" ref="K91:K101" si="17">IF(E91&lt;&gt;I91,E91-I91,"")</f>
        <v/>
      </c>
      <c r="L91" s="2729" t="str">
        <f t="shared" ref="L91:L101" si="18">IF(E91&lt;&gt;I91,P91,"")</f>
        <v/>
      </c>
      <c r="M91" s="2870"/>
      <c r="N91" s="2280"/>
      <c r="P91" s="2665" t="s">
        <v>144</v>
      </c>
    </row>
    <row r="92" spans="1:16" ht="54" customHeight="1">
      <c r="A92" s="2297">
        <v>52</v>
      </c>
      <c r="B92" s="2298" t="s">
        <v>380</v>
      </c>
      <c r="C92" s="2304" t="s">
        <v>1232</v>
      </c>
      <c r="D92" s="2298">
        <f t="shared" si="15"/>
        <v>2015</v>
      </c>
      <c r="E92" s="2300">
        <f>'טופס 3'!G33</f>
        <v>1338077</v>
      </c>
      <c r="F92" s="2305" t="s">
        <v>380</v>
      </c>
      <c r="G92" s="2298" t="s">
        <v>1233</v>
      </c>
      <c r="H92" s="2298">
        <f>$G$3</f>
        <v>2014</v>
      </c>
      <c r="I92" s="2300">
        <f>'טופס 3'!I38</f>
        <v>1338077</v>
      </c>
      <c r="J92" s="2312" t="str">
        <f t="shared" si="16"/>
        <v>תקין</v>
      </c>
      <c r="K92" s="2303" t="str">
        <f t="shared" si="17"/>
        <v/>
      </c>
      <c r="L92" s="2729" t="str">
        <f t="shared" si="18"/>
        <v/>
      </c>
      <c r="M92" s="2746"/>
      <c r="N92" s="2280"/>
      <c r="P92" s="2665" t="s">
        <v>144</v>
      </c>
    </row>
    <row r="93" spans="1:16" ht="30" customHeight="1">
      <c r="A93" s="2297">
        <v>53</v>
      </c>
      <c r="B93" s="2298" t="s">
        <v>380</v>
      </c>
      <c r="C93" s="2304" t="s">
        <v>500</v>
      </c>
      <c r="D93" s="2298">
        <f t="shared" si="15"/>
        <v>2015</v>
      </c>
      <c r="E93" s="2300">
        <f>'טופס 3'!G34</f>
        <v>126658</v>
      </c>
      <c r="F93" s="2305" t="s">
        <v>380</v>
      </c>
      <c r="G93" s="2298" t="s">
        <v>502</v>
      </c>
      <c r="H93" s="2298">
        <f>$G$3</f>
        <v>2014</v>
      </c>
      <c r="I93" s="2300">
        <f>'טופס 3'!I39</f>
        <v>126658</v>
      </c>
      <c r="J93" s="2312" t="str">
        <f t="shared" si="16"/>
        <v>תקין</v>
      </c>
      <c r="K93" s="2303" t="str">
        <f t="shared" si="17"/>
        <v/>
      </c>
      <c r="L93" s="2729" t="str">
        <f t="shared" si="18"/>
        <v/>
      </c>
      <c r="M93" s="2746"/>
      <c r="N93" s="2280"/>
      <c r="P93" s="2665" t="s">
        <v>127</v>
      </c>
    </row>
    <row r="94" spans="1:16" ht="35.1" customHeight="1">
      <c r="A94" s="2297">
        <v>54</v>
      </c>
      <c r="B94" s="2298" t="s">
        <v>380</v>
      </c>
      <c r="C94" s="2304" t="s">
        <v>502</v>
      </c>
      <c r="D94" s="2298">
        <f t="shared" si="15"/>
        <v>2015</v>
      </c>
      <c r="E94" s="2300">
        <f>'טופס 3'!G39</f>
        <v>276122</v>
      </c>
      <c r="F94" s="2305" t="s">
        <v>380</v>
      </c>
      <c r="G94" s="2298" t="s">
        <v>1234</v>
      </c>
      <c r="H94" s="2298">
        <f>$F$3</f>
        <v>2015</v>
      </c>
      <c r="I94" s="2300">
        <f>'טופס 3'!G44</f>
        <v>276122</v>
      </c>
      <c r="J94" s="2312" t="str">
        <f t="shared" si="16"/>
        <v>תקין</v>
      </c>
      <c r="K94" s="2303" t="str">
        <f t="shared" si="17"/>
        <v/>
      </c>
      <c r="L94" s="2729" t="str">
        <f t="shared" si="18"/>
        <v/>
      </c>
      <c r="M94" s="2746"/>
      <c r="N94" s="2280"/>
      <c r="P94" s="2665" t="s">
        <v>128</v>
      </c>
    </row>
    <row r="95" spans="1:16" ht="35.1" customHeight="1">
      <c r="A95" s="2297">
        <v>55</v>
      </c>
      <c r="B95" s="2298" t="s">
        <v>380</v>
      </c>
      <c r="C95" s="2304" t="s">
        <v>482</v>
      </c>
      <c r="D95" s="2298">
        <f t="shared" si="15"/>
        <v>2015</v>
      </c>
      <c r="E95" s="2300">
        <f>'טופס 3'!G18</f>
        <v>321430</v>
      </c>
      <c r="F95" s="2305" t="s">
        <v>1236</v>
      </c>
      <c r="G95" s="2298" t="s">
        <v>1237</v>
      </c>
      <c r="H95" s="2298">
        <f>$F$3</f>
        <v>2015</v>
      </c>
      <c r="I95" s="2300">
        <f>'נספח 1 לטופס 3'!K41</f>
        <v>321430</v>
      </c>
      <c r="J95" s="2312" t="str">
        <f t="shared" si="16"/>
        <v>תקין</v>
      </c>
      <c r="K95" s="2303" t="str">
        <f t="shared" si="17"/>
        <v/>
      </c>
      <c r="L95" s="2729" t="str">
        <f t="shared" si="18"/>
        <v/>
      </c>
      <c r="M95" s="2746"/>
      <c r="N95" s="2280"/>
      <c r="P95" s="2665" t="s">
        <v>130</v>
      </c>
    </row>
    <row r="96" spans="1:16" ht="35.1" customHeight="1">
      <c r="A96" s="2297">
        <v>56</v>
      </c>
      <c r="B96" s="2298" t="s">
        <v>380</v>
      </c>
      <c r="C96" s="2304" t="s">
        <v>483</v>
      </c>
      <c r="D96" s="2298">
        <f t="shared" si="15"/>
        <v>2015</v>
      </c>
      <c r="E96" s="2300">
        <f>'טופס 3'!G27</f>
        <v>171966</v>
      </c>
      <c r="F96" s="2305" t="s">
        <v>1236</v>
      </c>
      <c r="G96" s="2298" t="s">
        <v>1238</v>
      </c>
      <c r="H96" s="2298">
        <f>$F$3</f>
        <v>2015</v>
      </c>
      <c r="I96" s="2300">
        <f>'נספח 1 לטופס 3'!J41</f>
        <v>171966</v>
      </c>
      <c r="J96" s="2332" t="str">
        <f t="shared" si="16"/>
        <v>תקין</v>
      </c>
      <c r="K96" s="2333" t="str">
        <f t="shared" si="17"/>
        <v/>
      </c>
      <c r="L96" s="2729" t="str">
        <f t="shared" si="18"/>
        <v/>
      </c>
      <c r="M96" s="2746"/>
      <c r="N96" s="2280"/>
      <c r="P96" s="2665" t="s">
        <v>131</v>
      </c>
    </row>
    <row r="97" spans="1:16" ht="35.1" customHeight="1">
      <c r="A97" s="2297">
        <v>57</v>
      </c>
      <c r="B97" s="2298" t="s">
        <v>380</v>
      </c>
      <c r="C97" s="2304" t="s">
        <v>1230</v>
      </c>
      <c r="D97" s="2298">
        <f t="shared" si="15"/>
        <v>2015</v>
      </c>
      <c r="E97" s="2300">
        <f>'טופס 3'!$G$32</f>
        <v>1464735</v>
      </c>
      <c r="F97" s="2305" t="s">
        <v>1236</v>
      </c>
      <c r="G97" s="2298" t="s">
        <v>1239</v>
      </c>
      <c r="H97" s="2298">
        <f>$G$3</f>
        <v>2014</v>
      </c>
      <c r="I97" s="2300">
        <f>'נספח 1 לטופס 3'!I41</f>
        <v>1464735</v>
      </c>
      <c r="J97" s="2312" t="str">
        <f t="shared" si="16"/>
        <v>תקין</v>
      </c>
      <c r="K97" s="2303" t="str">
        <f t="shared" si="17"/>
        <v/>
      </c>
      <c r="L97" s="2729" t="str">
        <f t="shared" si="18"/>
        <v/>
      </c>
      <c r="M97" s="2746"/>
      <c r="N97" s="2280"/>
      <c r="P97" s="2665" t="s">
        <v>132</v>
      </c>
    </row>
    <row r="98" spans="1:16" ht="35.1" customHeight="1">
      <c r="A98" s="2297">
        <v>58</v>
      </c>
      <c r="B98" s="2298" t="s">
        <v>380</v>
      </c>
      <c r="C98" s="2304" t="s">
        <v>1231</v>
      </c>
      <c r="D98" s="2298">
        <f>$G$3</f>
        <v>2014</v>
      </c>
      <c r="E98" s="2300">
        <f>'טופס 3'!I37</f>
        <v>1464735</v>
      </c>
      <c r="F98" s="2305" t="s">
        <v>1236</v>
      </c>
      <c r="G98" s="2298" t="s">
        <v>1239</v>
      </c>
      <c r="H98" s="2298">
        <f>$G$3</f>
        <v>2014</v>
      </c>
      <c r="I98" s="2300">
        <f>'נספח 1 לטופס 3'!I41</f>
        <v>1464735</v>
      </c>
      <c r="J98" s="2312" t="str">
        <f t="shared" si="16"/>
        <v>תקין</v>
      </c>
      <c r="K98" s="2303" t="str">
        <f t="shared" si="17"/>
        <v/>
      </c>
      <c r="L98" s="2729" t="str">
        <f t="shared" si="18"/>
        <v/>
      </c>
      <c r="M98" s="2746"/>
      <c r="N98" s="2280"/>
      <c r="P98" s="2665" t="s">
        <v>132</v>
      </c>
    </row>
    <row r="99" spans="1:16" ht="35.1" customHeight="1">
      <c r="A99" s="2297">
        <v>59</v>
      </c>
      <c r="B99" s="2298" t="s">
        <v>380</v>
      </c>
      <c r="C99" s="2304" t="s">
        <v>1232</v>
      </c>
      <c r="D99" s="2298">
        <f>$F$3</f>
        <v>2015</v>
      </c>
      <c r="E99" s="2300">
        <f>'טופס 3'!G33</f>
        <v>1338077</v>
      </c>
      <c r="F99" s="2305" t="s">
        <v>1236</v>
      </c>
      <c r="G99" s="2298" t="s">
        <v>1240</v>
      </c>
      <c r="H99" s="2298">
        <f>$G$3</f>
        <v>2014</v>
      </c>
      <c r="I99" s="2300">
        <f>'נספח 1 לטופס 3'!$H$41</f>
        <v>1338077</v>
      </c>
      <c r="J99" s="2312" t="str">
        <f t="shared" si="16"/>
        <v>תקין</v>
      </c>
      <c r="K99" s="2303" t="str">
        <f t="shared" si="17"/>
        <v/>
      </c>
      <c r="L99" s="2729" t="str">
        <f t="shared" si="18"/>
        <v/>
      </c>
      <c r="M99" s="2746"/>
      <c r="N99" s="2280"/>
      <c r="P99" s="2665" t="s">
        <v>132</v>
      </c>
    </row>
    <row r="100" spans="1:16" ht="35.1" customHeight="1">
      <c r="A100" s="2297">
        <v>60</v>
      </c>
      <c r="B100" s="2298" t="s">
        <v>380</v>
      </c>
      <c r="C100" s="2304" t="s">
        <v>1233</v>
      </c>
      <c r="D100" s="2298">
        <f>$G$3</f>
        <v>2014</v>
      </c>
      <c r="E100" s="2300">
        <f>'טופס 3'!$I$38</f>
        <v>1338077</v>
      </c>
      <c r="F100" s="2305" t="s">
        <v>1236</v>
      </c>
      <c r="G100" s="2298" t="s">
        <v>1240</v>
      </c>
      <c r="H100" s="2298">
        <f>$G$3</f>
        <v>2014</v>
      </c>
      <c r="I100" s="2300">
        <f>'נספח 1 לטופס 3'!$H$41</f>
        <v>1338077</v>
      </c>
      <c r="J100" s="2312" t="str">
        <f t="shared" si="16"/>
        <v>תקין</v>
      </c>
      <c r="K100" s="2303" t="str">
        <f t="shared" si="17"/>
        <v/>
      </c>
      <c r="L100" s="2729" t="str">
        <f t="shared" si="18"/>
        <v/>
      </c>
      <c r="M100" s="2746"/>
      <c r="N100" s="2280"/>
      <c r="P100" s="2665" t="s">
        <v>132</v>
      </c>
    </row>
    <row r="101" spans="1:16" ht="35.1" customHeight="1">
      <c r="A101" s="2297">
        <v>61</v>
      </c>
      <c r="B101" s="2298" t="s">
        <v>380</v>
      </c>
      <c r="C101" s="2304" t="s">
        <v>502</v>
      </c>
      <c r="D101" s="2298">
        <f>$F$3</f>
        <v>2015</v>
      </c>
      <c r="E101" s="2300">
        <f>'טופס 3'!G39</f>
        <v>276122</v>
      </c>
      <c r="F101" s="2305" t="s">
        <v>1236</v>
      </c>
      <c r="G101" s="2298" t="s">
        <v>1241</v>
      </c>
      <c r="H101" s="2298">
        <f>$F$3</f>
        <v>2015</v>
      </c>
      <c r="I101" s="2300">
        <f>'נספח 1 לטופס 3'!P41</f>
        <v>276122</v>
      </c>
      <c r="J101" s="2312" t="str">
        <f t="shared" si="16"/>
        <v>תקין</v>
      </c>
      <c r="K101" s="2303" t="str">
        <f t="shared" si="17"/>
        <v/>
      </c>
      <c r="L101" s="2729" t="str">
        <f t="shared" si="18"/>
        <v/>
      </c>
      <c r="M101" s="2746"/>
      <c r="N101" s="2280"/>
      <c r="P101" s="2665" t="s">
        <v>129</v>
      </c>
    </row>
    <row r="102" spans="1:16" ht="35.1" customHeight="1">
      <c r="A102" s="2297">
        <v>62</v>
      </c>
      <c r="B102" s="2298" t="s">
        <v>380</v>
      </c>
      <c r="C102" s="2662" t="s">
        <v>491</v>
      </c>
      <c r="D102" s="2298">
        <f>$F$3</f>
        <v>2015</v>
      </c>
      <c r="E102" s="2300">
        <f>'טופס 3'!G15</f>
        <v>0</v>
      </c>
      <c r="F102" s="2298" t="s">
        <v>380</v>
      </c>
      <c r="G102" s="2740" t="s">
        <v>496</v>
      </c>
      <c r="H102" s="2298">
        <f>$F$3</f>
        <v>2015</v>
      </c>
      <c r="I102" s="2300">
        <f>'טופס 3'!G23</f>
        <v>0</v>
      </c>
      <c r="J102" s="2312" t="str">
        <f>IF(E102&gt;=I102,$B$3,"")</f>
        <v>תקין</v>
      </c>
      <c r="K102" s="2303" t="str">
        <f>IF(E102&lt;I102,E102-I102,"")</f>
        <v/>
      </c>
      <c r="L102" s="2729" t="str">
        <f>IF(E102&lt;I102,P102,"")</f>
        <v/>
      </c>
      <c r="M102" s="2746"/>
      <c r="N102" s="2280"/>
      <c r="P102" s="2665" t="s">
        <v>325</v>
      </c>
    </row>
    <row r="103" spans="1:16" ht="35.1" customHeight="1">
      <c r="A103" s="2297">
        <v>63</v>
      </c>
      <c r="B103" s="2298" t="s">
        <v>380</v>
      </c>
      <c r="C103" s="2662" t="s">
        <v>491</v>
      </c>
      <c r="D103" s="2298">
        <f>$G$3</f>
        <v>2014</v>
      </c>
      <c r="E103" s="2300">
        <f>'טופס 3'!I15</f>
        <v>15133</v>
      </c>
      <c r="F103" s="2298" t="s">
        <v>380</v>
      </c>
      <c r="G103" s="2740" t="s">
        <v>496</v>
      </c>
      <c r="H103" s="2298">
        <f>$G$3</f>
        <v>2014</v>
      </c>
      <c r="I103" s="2300">
        <f>'טופס 3'!I23</f>
        <v>0</v>
      </c>
      <c r="J103" s="2312" t="str">
        <f>IF(E103&gt;=I103,$B$3,"")</f>
        <v>תקין</v>
      </c>
      <c r="K103" s="2303" t="str">
        <f>IF(E103&lt;I103,E103-I103,"")</f>
        <v/>
      </c>
      <c r="L103" s="2729" t="str">
        <f>IF(E103&lt;I103,P103,"")</f>
        <v/>
      </c>
      <c r="M103" s="2746"/>
      <c r="N103" s="2280"/>
      <c r="P103" s="2665" t="s">
        <v>325</v>
      </c>
    </row>
    <row r="104" spans="1:16" ht="30" customHeight="1">
      <c r="A104" s="2297">
        <v>64</v>
      </c>
      <c r="B104" s="2298" t="s">
        <v>380</v>
      </c>
      <c r="C104" s="2304" t="s">
        <v>492</v>
      </c>
      <c r="D104" s="2298">
        <f>$F$3</f>
        <v>2015</v>
      </c>
      <c r="E104" s="2300">
        <f>'טופס 3'!G16</f>
        <v>0</v>
      </c>
      <c r="F104" s="2305" t="s">
        <v>1198</v>
      </c>
      <c r="G104" s="2298" t="s">
        <v>1244</v>
      </c>
      <c r="H104" s="2298">
        <f>$F$3</f>
        <v>2015</v>
      </c>
      <c r="I104" s="2300">
        <f>'טופס 1 אקטיב'!F33</f>
        <v>0</v>
      </c>
      <c r="J104" s="2651"/>
      <c r="K104" s="2303"/>
      <c r="L104" s="2654"/>
      <c r="M104" s="2746"/>
      <c r="N104" s="2280"/>
    </row>
    <row r="105" spans="1:16" ht="27" customHeight="1">
      <c r="A105" s="2297"/>
      <c r="B105" s="2298"/>
      <c r="C105" s="2304"/>
      <c r="D105" s="2298"/>
      <c r="E105" s="2300"/>
      <c r="F105" s="2305" t="s">
        <v>1198</v>
      </c>
      <c r="G105" s="2298" t="s">
        <v>1244</v>
      </c>
      <c r="H105" s="2298">
        <f>$G$3</f>
        <v>2014</v>
      </c>
      <c r="I105" s="2300">
        <f>'טופס 1 אקטיב'!H33</f>
        <v>0</v>
      </c>
      <c r="J105" s="2651"/>
      <c r="K105" s="2303"/>
      <c r="L105" s="2654"/>
      <c r="M105" s="2746"/>
      <c r="N105" s="2280"/>
    </row>
    <row r="106" spans="1:16" ht="39.75" customHeight="1">
      <c r="A106" s="2297"/>
      <c r="B106" s="2298"/>
      <c r="C106" s="2304"/>
      <c r="D106" s="2298"/>
      <c r="E106" s="2300"/>
      <c r="F106" s="2305"/>
      <c r="G106" s="2298" t="s">
        <v>1245</v>
      </c>
      <c r="H106" s="2298"/>
      <c r="I106" s="2653">
        <f>I104-I105</f>
        <v>0</v>
      </c>
      <c r="J106" s="2312" t="str">
        <f>IF(E104=I106,$B$3,"")</f>
        <v>תקין</v>
      </c>
      <c r="K106" s="2303" t="str">
        <f>IF(E104&lt;&gt;I106,E104-I106,"")</f>
        <v/>
      </c>
      <c r="L106" s="2729" t="str">
        <f>IF(E104&lt;&gt;I106,P106,"")</f>
        <v/>
      </c>
      <c r="M106" s="2746"/>
      <c r="N106" s="2280"/>
      <c r="P106" s="2665" t="s">
        <v>133</v>
      </c>
    </row>
    <row r="107" spans="1:16" ht="46.5" customHeight="1">
      <c r="A107" s="2961">
        <v>65</v>
      </c>
      <c r="B107" s="2965" t="s">
        <v>380</v>
      </c>
      <c r="C107" s="2966" t="s">
        <v>1281</v>
      </c>
      <c r="D107" s="2298">
        <f>$F$3</f>
        <v>2015</v>
      </c>
      <c r="E107" s="2962">
        <f>'טופס 3'!G47</f>
        <v>103505</v>
      </c>
      <c r="F107" s="2967" t="s">
        <v>230</v>
      </c>
      <c r="G107" s="2740" t="s">
        <v>1282</v>
      </c>
      <c r="H107" s="2298">
        <f>$F$3</f>
        <v>2015</v>
      </c>
      <c r="I107" s="2652">
        <v>68276</v>
      </c>
      <c r="J107" s="2312" t="str">
        <f>IF(E107=I107,$B$3,"")</f>
        <v/>
      </c>
      <c r="K107" s="2303">
        <f>IF(E107&lt;&gt;I107,E107-I107,"")</f>
        <v>35229</v>
      </c>
      <c r="L107" s="2729" t="str">
        <f>IF(E107&lt;&gt;I107,P107,"")</f>
        <v>אין התאמה בין מס' התב"רים הסגורים מטופס 3 (הנתון מגיע משורת סיכום בנספח 1 לטופס 3) ובין יישום התב"רים</v>
      </c>
      <c r="M107" s="2746" t="s">
        <v>2379</v>
      </c>
      <c r="N107" s="2280"/>
      <c r="P107" s="2665" t="s">
        <v>232</v>
      </c>
    </row>
    <row r="108" spans="1:16" ht="37.5" customHeight="1">
      <c r="A108" s="2961">
        <v>66</v>
      </c>
      <c r="B108" s="2965" t="s">
        <v>380</v>
      </c>
      <c r="C108" s="2966" t="s">
        <v>1281</v>
      </c>
      <c r="D108" s="2298">
        <f>$G$3</f>
        <v>2014</v>
      </c>
      <c r="E108" s="2962">
        <f>'טופס 3'!I47</f>
        <v>118009</v>
      </c>
      <c r="F108" s="2967" t="s">
        <v>230</v>
      </c>
      <c r="G108" s="2740" t="s">
        <v>1282</v>
      </c>
      <c r="H108" s="2298">
        <f>$G$3</f>
        <v>2014</v>
      </c>
      <c r="I108" s="2652">
        <v>110053</v>
      </c>
      <c r="J108" s="2312" t="str">
        <f>IF(E108=I108,$B$3,"")</f>
        <v/>
      </c>
      <c r="K108" s="2303">
        <f>IF(E108&lt;&gt;I108,E108-I108,"")</f>
        <v>7956</v>
      </c>
      <c r="L108" s="2729" t="str">
        <f>IF(E108&lt;&gt;I108,P108,"")</f>
        <v>אין התאמה בין מס' התב"רים הסגורים בשנה הקודמת מטופס 3 ובין יישום התב"רים</v>
      </c>
      <c r="M108" s="2746" t="s">
        <v>2379</v>
      </c>
      <c r="N108" s="2280"/>
      <c r="P108" s="2665" t="s">
        <v>254</v>
      </c>
    </row>
    <row r="109" spans="1:16" ht="27.75" customHeight="1">
      <c r="A109" s="2961">
        <v>67</v>
      </c>
      <c r="B109" s="2965" t="s">
        <v>380</v>
      </c>
      <c r="C109" s="2966" t="s">
        <v>498</v>
      </c>
      <c r="D109" s="2298">
        <f>$F$3</f>
        <v>2015</v>
      </c>
      <c r="E109" s="2962">
        <f>'טופס 3'!$G$25</f>
        <v>4202</v>
      </c>
      <c r="F109" s="2967" t="s">
        <v>1211</v>
      </c>
      <c r="G109" s="2740" t="s">
        <v>1246</v>
      </c>
      <c r="H109" s="2298">
        <f>$F$3</f>
        <v>2015</v>
      </c>
      <c r="I109" s="2300">
        <f>'ביאור 5'!$E$26</f>
        <v>4202</v>
      </c>
      <c r="J109" s="2312" t="str">
        <f>IF(E109=I109,$B$3,"")</f>
        <v>תקין</v>
      </c>
      <c r="K109" s="2303" t="str">
        <f>IF(E109&lt;&gt;I109,E109-I109,"")</f>
        <v/>
      </c>
      <c r="L109" s="2729" t="str">
        <f>IF(E109&lt;&gt;I109,P109,"")</f>
        <v/>
      </c>
      <c r="M109" s="2746"/>
      <c r="N109" s="2280"/>
      <c r="P109" s="2665" t="s">
        <v>134</v>
      </c>
    </row>
    <row r="110" spans="1:16" ht="27.75" customHeight="1">
      <c r="A110" s="2961">
        <v>68</v>
      </c>
      <c r="B110" s="2965" t="s">
        <v>1474</v>
      </c>
      <c r="C110" s="2966" t="str">
        <f>'טופס 4'!B32</f>
        <v>(קיטון) גידול בקרן לעבודות פיתוח</v>
      </c>
      <c r="D110" s="2298">
        <f>$G$3</f>
        <v>2014</v>
      </c>
      <c r="E110" s="2962">
        <f>'טופס 4'!G32</f>
        <v>49773</v>
      </c>
      <c r="F110" s="2967" t="s">
        <v>1211</v>
      </c>
      <c r="G110" s="2965" t="s">
        <v>318</v>
      </c>
      <c r="H110" s="2298">
        <f>$G$3</f>
        <v>2014</v>
      </c>
      <c r="I110" s="2300">
        <f>'ביאור 5'!P14</f>
        <v>177966</v>
      </c>
      <c r="J110" s="2651"/>
      <c r="K110" s="2303"/>
      <c r="L110" s="2729"/>
      <c r="M110" s="2964"/>
      <c r="N110" s="2280"/>
    </row>
    <row r="111" spans="1:16" ht="27.75" customHeight="1">
      <c r="A111" s="2961"/>
      <c r="B111" s="2965"/>
      <c r="C111" s="2966"/>
      <c r="D111" s="2298"/>
      <c r="E111" s="2962"/>
      <c r="F111" s="2967" t="s">
        <v>1211</v>
      </c>
      <c r="G111" s="2965" t="s">
        <v>201</v>
      </c>
      <c r="H111" s="2298">
        <f>$H$3</f>
        <v>2013</v>
      </c>
      <c r="I111" s="2300">
        <f>'ביאור 5'!C14</f>
        <v>128193</v>
      </c>
      <c r="J111" s="2651"/>
      <c r="K111" s="2303"/>
      <c r="L111" s="2729"/>
      <c r="M111" s="2964"/>
      <c r="N111" s="2280"/>
    </row>
    <row r="112" spans="1:16" ht="30.6">
      <c r="A112" s="2961"/>
      <c r="B112" s="2965"/>
      <c r="C112" s="2966"/>
      <c r="D112" s="2298"/>
      <c r="E112" s="2962"/>
      <c r="F112" s="2967"/>
      <c r="G112" s="2965"/>
      <c r="H112" s="2298"/>
      <c r="I112" s="2653">
        <f>I110-I111</f>
        <v>49773</v>
      </c>
      <c r="J112" s="2312" t="str">
        <f>IF(E110=I112,$B$3,"")</f>
        <v>תקין</v>
      </c>
      <c r="K112" s="2303" t="str">
        <f>IF(E110&lt;&gt;I112,E110-I112,"")</f>
        <v/>
      </c>
      <c r="L112" s="2729" t="str">
        <f>IF(E110&lt;&gt;I112,P112,"")</f>
        <v/>
      </c>
      <c r="M112" s="2964"/>
      <c r="N112" s="2280"/>
      <c r="P112" s="2665" t="s">
        <v>319</v>
      </c>
    </row>
    <row r="113" spans="1:16" ht="22.8">
      <c r="A113" s="2961">
        <v>69</v>
      </c>
      <c r="B113" s="2965" t="s">
        <v>1474</v>
      </c>
      <c r="C113" s="2974" t="str">
        <f>'טופס 4'!B23</f>
        <v>עודף הכנסות על הוצאות בשנת התקציב</v>
      </c>
      <c r="D113" s="2298">
        <f>$F$3</f>
        <v>2015</v>
      </c>
      <c r="E113" s="2962">
        <f>'טופס 4'!E23</f>
        <v>151244</v>
      </c>
      <c r="F113" s="2967" t="s">
        <v>1474</v>
      </c>
      <c r="G113" s="2966" t="str">
        <f>'טופס 4'!B34</f>
        <v>עודף כללי</v>
      </c>
      <c r="H113" s="2298">
        <f>$F$3</f>
        <v>2015</v>
      </c>
      <c r="I113" s="2300">
        <f>'טופס 4'!E34</f>
        <v>151244</v>
      </c>
      <c r="J113" s="2312" t="str">
        <f>IF(E113=I113,$B$3,"")</f>
        <v>תקין</v>
      </c>
      <c r="K113" s="2303" t="str">
        <f>IF(E113&lt;&gt;I113,E113-I113,"")</f>
        <v/>
      </c>
      <c r="L113" s="2729" t="str">
        <f>IF(E113&lt;&gt;I113,P113,"")</f>
        <v/>
      </c>
      <c r="M113" s="2964"/>
      <c r="N113" s="2280"/>
      <c r="P113" s="2665" t="s">
        <v>302</v>
      </c>
    </row>
    <row r="114" spans="1:16" s="2314" customFormat="1" ht="22.8">
      <c r="A114" s="2961">
        <v>70</v>
      </c>
      <c r="B114" s="2972" t="s">
        <v>1474</v>
      </c>
      <c r="C114" s="2975" t="str">
        <f>'טופס 4'!B23</f>
        <v>עודף הכנסות על הוצאות בשנת התקציב</v>
      </c>
      <c r="D114" s="2316">
        <f>ShanaKodemet</f>
        <v>2014</v>
      </c>
      <c r="E114" s="2318">
        <f>'טופס 4'!G23</f>
        <v>74558</v>
      </c>
      <c r="F114" s="2973" t="s">
        <v>1474</v>
      </c>
      <c r="G114" s="2966" t="str">
        <f>'טופס 4'!B34</f>
        <v>עודף כללי</v>
      </c>
      <c r="H114" s="2316">
        <f>ShanaKodemet</f>
        <v>2014</v>
      </c>
      <c r="I114" s="2334">
        <f>'טופס 4'!G34</f>
        <v>74558</v>
      </c>
      <c r="J114" s="2312" t="str">
        <f>IF(E114=I114,$B$3,"")</f>
        <v>תקין</v>
      </c>
      <c r="K114" s="2303" t="str">
        <f>IF(E114&lt;&gt;I114,E114-I114,"")</f>
        <v/>
      </c>
      <c r="L114" s="2729" t="str">
        <f>IF(E114&lt;&gt;I114,P114,"")</f>
        <v/>
      </c>
      <c r="M114" s="2748"/>
      <c r="N114" s="2313"/>
      <c r="P114" s="2665" t="s">
        <v>302</v>
      </c>
    </row>
    <row r="115" spans="1:16" ht="15.6">
      <c r="A115" s="2285"/>
      <c r="B115" s="3720" t="s">
        <v>1247</v>
      </c>
      <c r="C115" s="3720"/>
      <c r="D115" s="3720"/>
      <c r="E115" s="3720"/>
      <c r="F115" s="3720"/>
      <c r="G115" s="3720"/>
      <c r="H115" s="3720"/>
      <c r="I115" s="3720"/>
      <c r="J115" s="2335"/>
      <c r="K115" s="2336"/>
      <c r="L115" s="2336"/>
      <c r="M115" s="2747"/>
      <c r="N115" s="2280"/>
    </row>
    <row r="116" spans="1:16" ht="26.4">
      <c r="A116" s="2290">
        <v>71</v>
      </c>
      <c r="B116" s="3097" t="s">
        <v>666</v>
      </c>
      <c r="C116" s="2662" t="s">
        <v>106</v>
      </c>
      <c r="D116" s="2291">
        <f>Shana</f>
        <v>2015</v>
      </c>
      <c r="E116" s="2293">
        <f>'נספח 2 לטופס 1 - פירוט ד'!D20</f>
        <v>528610.79</v>
      </c>
      <c r="F116" s="2305" t="s">
        <v>326</v>
      </c>
      <c r="G116" s="3097" t="s">
        <v>789</v>
      </c>
      <c r="H116" s="2291">
        <f>Shana</f>
        <v>2015</v>
      </c>
      <c r="I116" s="2293">
        <f>'נספח א'!L23</f>
        <v>528610.79</v>
      </c>
      <c r="J116" s="2651"/>
      <c r="K116" s="2296"/>
      <c r="L116" s="2729"/>
      <c r="M116" s="2870"/>
      <c r="N116" s="2280"/>
    </row>
    <row r="117" spans="1:16" ht="26.4">
      <c r="A117" s="2323"/>
      <c r="B117" s="3098"/>
      <c r="C117" s="2304"/>
      <c r="D117" s="2309"/>
      <c r="E117" s="2310"/>
      <c r="F117" s="2305" t="s">
        <v>326</v>
      </c>
      <c r="G117" s="3098" t="s">
        <v>790</v>
      </c>
      <c r="H117" s="2298">
        <f>Shana</f>
        <v>2015</v>
      </c>
      <c r="I117" s="2310">
        <f>'נספח א'!L25</f>
        <v>0</v>
      </c>
      <c r="J117" s="2651"/>
      <c r="K117" s="2333"/>
      <c r="L117" s="2729"/>
      <c r="M117" s="3100"/>
      <c r="N117" s="2280"/>
    </row>
    <row r="118" spans="1:16" ht="30.6">
      <c r="A118" s="2323"/>
      <c r="B118" s="3098"/>
      <c r="C118" s="2304"/>
      <c r="D118" s="2309"/>
      <c r="E118" s="2310"/>
      <c r="F118" s="3099"/>
      <c r="G118" s="3098"/>
      <c r="H118" s="2298"/>
      <c r="I118" s="2653">
        <f>SUM(I116:I117)</f>
        <v>528610.79</v>
      </c>
      <c r="J118" s="2332" t="str">
        <f>IF(E116=I118,$B$3,"")</f>
        <v>תקין</v>
      </c>
      <c r="K118" s="2303" t="str">
        <f>IF($E$116=$I$118,"",E116-I118)</f>
        <v/>
      </c>
      <c r="L118" s="2729" t="str">
        <f>IF($E$116=$I$118,"",P118)</f>
        <v/>
      </c>
      <c r="M118" s="3100"/>
      <c r="N118" s="2280"/>
      <c r="P118" s="2665" t="s">
        <v>791</v>
      </c>
    </row>
    <row r="119" spans="1:16" ht="26.4">
      <c r="A119" s="2323">
        <v>72</v>
      </c>
      <c r="B119" s="3098" t="s">
        <v>666</v>
      </c>
      <c r="C119" s="2304" t="s">
        <v>106</v>
      </c>
      <c r="D119" s="2309">
        <f>$G$3</f>
        <v>2014</v>
      </c>
      <c r="E119" s="2310">
        <f>'נספח 2 לטופס 1 - פירוט ד'!F20</f>
        <v>520227</v>
      </c>
      <c r="F119" s="2305" t="s">
        <v>326</v>
      </c>
      <c r="G119" s="3098" t="s">
        <v>57</v>
      </c>
      <c r="H119" s="2298">
        <f>$G$3</f>
        <v>2014</v>
      </c>
      <c r="I119" s="2310">
        <f>'נספח א'!N23</f>
        <v>520227</v>
      </c>
      <c r="J119" s="2651"/>
      <c r="K119" s="2333"/>
      <c r="L119" s="2729"/>
      <c r="M119" s="3100"/>
      <c r="N119" s="2280"/>
    </row>
    <row r="120" spans="1:16" ht="26.4">
      <c r="A120" s="2323"/>
      <c r="B120" s="3098"/>
      <c r="C120" s="2304"/>
      <c r="D120" s="2309"/>
      <c r="E120" s="2310"/>
      <c r="F120" s="2305" t="s">
        <v>326</v>
      </c>
      <c r="G120" s="3098" t="s">
        <v>58</v>
      </c>
      <c r="H120" s="2298">
        <f>$G$3</f>
        <v>2014</v>
      </c>
      <c r="I120" s="2310">
        <f>'נספח א'!N25</f>
        <v>0</v>
      </c>
      <c r="J120" s="2651"/>
      <c r="K120" s="2333"/>
      <c r="L120" s="2729"/>
      <c r="M120" s="3100"/>
      <c r="N120" s="2280"/>
    </row>
    <row r="121" spans="1:16" ht="30.6">
      <c r="A121" s="2323"/>
      <c r="B121" s="3098"/>
      <c r="C121" s="2304"/>
      <c r="D121" s="2309"/>
      <c r="E121" s="2310"/>
      <c r="F121" s="3099"/>
      <c r="G121" s="3098"/>
      <c r="H121" s="2298"/>
      <c r="I121" s="2653">
        <f>SUM(I119:I120)</f>
        <v>520227</v>
      </c>
      <c r="J121" s="2332" t="str">
        <f>IF(E119=I121,$B$3,"")</f>
        <v>תקין</v>
      </c>
      <c r="K121" s="2303" t="str">
        <f>IF($E$119=$I$121,"",E119-I121)</f>
        <v/>
      </c>
      <c r="L121" s="2729" t="str">
        <f>IF($E$119=$I$121,"",P121)</f>
        <v/>
      </c>
      <c r="M121" s="3100"/>
      <c r="N121" s="2280"/>
      <c r="P121" s="2665" t="s">
        <v>791</v>
      </c>
    </row>
    <row r="122" spans="1:16" s="2314" customFormat="1" ht="45" customHeight="1">
      <c r="A122" s="2297">
        <v>73</v>
      </c>
      <c r="B122" s="2298" t="s">
        <v>1210</v>
      </c>
      <c r="C122" s="2304" t="s">
        <v>1248</v>
      </c>
      <c r="D122" s="2298">
        <f>$F$3</f>
        <v>2015</v>
      </c>
      <c r="E122" s="2300">
        <f>'נספח 2 לטופס 1'!D15</f>
        <v>299879</v>
      </c>
      <c r="F122" s="2305" t="s">
        <v>1249</v>
      </c>
      <c r="G122" s="2298" t="s">
        <v>1250</v>
      </c>
      <c r="H122" s="2298">
        <f>$G$3</f>
        <v>2014</v>
      </c>
      <c r="I122" s="2300">
        <f>'נתונים לנספח 2 לטופס 1'!D12</f>
        <v>299879</v>
      </c>
      <c r="J122" s="2312" t="str">
        <f t="shared" ref="J122:J127" si="19">IF(E122=I122,$B$3,"")</f>
        <v>תקין</v>
      </c>
      <c r="K122" s="2303" t="str">
        <f t="shared" ref="K122:K127" si="20">IF(E122&lt;&gt;I122,E122-I122,"")</f>
        <v/>
      </c>
      <c r="L122" s="2729" t="str">
        <f t="shared" ref="L122:L127" si="21">IF(E122&lt;&gt;I122,P122,"")</f>
        <v/>
      </c>
      <c r="M122" s="2746"/>
      <c r="N122" s="2313"/>
      <c r="P122" s="2665" t="s">
        <v>280</v>
      </c>
    </row>
    <row r="123" spans="1:16" s="2314" customFormat="1" ht="30.6">
      <c r="A123" s="2297">
        <v>74</v>
      </c>
      <c r="B123" s="2298" t="s">
        <v>1210</v>
      </c>
      <c r="C123" s="2304" t="s">
        <v>1251</v>
      </c>
      <c r="D123" s="2298">
        <f>$F$3</f>
        <v>2015</v>
      </c>
      <c r="E123" s="2300">
        <f>IF('נספח 2 לטופס 1'!$D$19&lt;&gt;0,'נספח 2 לטופס 1'!$D$19,IF('נספח 2 לטופס 1'!$D$16&lt;&gt;0,'נספח 2 לטופס 1'!$D$16,'נספח 2 לטופס 1'!$D$19))</f>
        <v>23186</v>
      </c>
      <c r="F123" s="2305" t="s">
        <v>1249</v>
      </c>
      <c r="G123" s="2298" t="s">
        <v>1252</v>
      </c>
      <c r="H123" s="2298">
        <f>$G$3</f>
        <v>2014</v>
      </c>
      <c r="I123" s="2300">
        <f>'נתונים לנספח 2 לטופס 1'!E12</f>
        <v>23186</v>
      </c>
      <c r="J123" s="2312" t="str">
        <f t="shared" si="19"/>
        <v>תקין</v>
      </c>
      <c r="K123" s="2303" t="str">
        <f t="shared" si="20"/>
        <v/>
      </c>
      <c r="L123" s="2729" t="str">
        <f t="shared" si="21"/>
        <v/>
      </c>
      <c r="M123" s="2746"/>
      <c r="N123" s="2313"/>
      <c r="P123" s="2665" t="s">
        <v>279</v>
      </c>
    </row>
    <row r="124" spans="1:16" ht="20.399999999999999">
      <c r="A124" s="2297">
        <v>75</v>
      </c>
      <c r="B124" s="2298" t="s">
        <v>1210</v>
      </c>
      <c r="C124" s="2307" t="s">
        <v>815</v>
      </c>
      <c r="D124" s="2298">
        <f>$F$3</f>
        <v>2015</v>
      </c>
      <c r="E124" s="2300">
        <f>'נספח 2 לטופס 1'!D45</f>
        <v>625093</v>
      </c>
      <c r="F124" s="2305" t="s">
        <v>1210</v>
      </c>
      <c r="G124" s="2298" t="s">
        <v>771</v>
      </c>
      <c r="H124" s="2298">
        <f>$G$3</f>
        <v>2014</v>
      </c>
      <c r="I124" s="2300">
        <f>'נספח 2 לטופס 1'!I46</f>
        <v>625093</v>
      </c>
      <c r="J124" s="2312" t="str">
        <f t="shared" si="19"/>
        <v>תקין</v>
      </c>
      <c r="K124" s="2303" t="str">
        <f t="shared" si="20"/>
        <v/>
      </c>
      <c r="L124" s="2729" t="str">
        <f t="shared" si="21"/>
        <v/>
      </c>
      <c r="M124" s="2746"/>
      <c r="N124" s="2280"/>
      <c r="P124" s="2665" t="s">
        <v>135</v>
      </c>
    </row>
    <row r="125" spans="1:16" ht="30" customHeight="1">
      <c r="A125" s="2297">
        <v>76</v>
      </c>
      <c r="B125" s="2298" t="s">
        <v>1210</v>
      </c>
      <c r="C125" s="2307" t="s">
        <v>815</v>
      </c>
      <c r="D125" s="2298">
        <f>$G$3</f>
        <v>2014</v>
      </c>
      <c r="E125" s="2300">
        <f>'נספח 2 לטופס 1'!D46</f>
        <v>687840</v>
      </c>
      <c r="F125" s="2305" t="s">
        <v>1210</v>
      </c>
      <c r="G125" s="2298" t="s">
        <v>771</v>
      </c>
      <c r="H125" s="2298">
        <f>$H$3</f>
        <v>2013</v>
      </c>
      <c r="I125" s="2300">
        <f>'נספח 2 לטופס 1'!I47</f>
        <v>687840</v>
      </c>
      <c r="J125" s="2312" t="str">
        <f t="shared" si="19"/>
        <v>תקין</v>
      </c>
      <c r="K125" s="2303" t="str">
        <f t="shared" si="20"/>
        <v/>
      </c>
      <c r="L125" s="2729" t="str">
        <f t="shared" si="21"/>
        <v/>
      </c>
      <c r="M125" s="2746"/>
      <c r="N125" s="2280"/>
      <c r="P125" s="2665" t="s">
        <v>136</v>
      </c>
    </row>
    <row r="126" spans="1:16" ht="33.75" customHeight="1">
      <c r="A126" s="2297">
        <v>77</v>
      </c>
      <c r="B126" s="2298" t="s">
        <v>1210</v>
      </c>
      <c r="C126" s="2307" t="s">
        <v>1253</v>
      </c>
      <c r="D126" s="2298">
        <f>$F$3</f>
        <v>2015</v>
      </c>
      <c r="E126" s="2300">
        <f>'נספח 2 לטופס 1'!H33</f>
        <v>172102</v>
      </c>
      <c r="F126" s="2301" t="s">
        <v>1211</v>
      </c>
      <c r="G126" s="2298" t="s">
        <v>1254</v>
      </c>
      <c r="H126" s="2298">
        <f>$F$3</f>
        <v>2015</v>
      </c>
      <c r="I126" s="2300">
        <f>'ביאור 5'!D15</f>
        <v>176321</v>
      </c>
      <c r="J126" s="2312" t="str">
        <f t="shared" si="19"/>
        <v/>
      </c>
      <c r="K126" s="2303">
        <f t="shared" si="20"/>
        <v>-4219</v>
      </c>
      <c r="L126" s="2729" t="str">
        <f t="shared" si="21"/>
        <v>אין התאמה בין תקבולי הטל השבחה בביאור 5 ונספח 2 לטופס 1</v>
      </c>
      <c r="M126" s="2746" t="s">
        <v>2461</v>
      </c>
      <c r="N126" s="2280"/>
      <c r="P126" s="2665" t="s">
        <v>329</v>
      </c>
    </row>
    <row r="127" spans="1:16" ht="33.75" customHeight="1">
      <c r="A127" s="2297">
        <v>78</v>
      </c>
      <c r="B127" s="2298" t="s">
        <v>1210</v>
      </c>
      <c r="C127" s="2304" t="s">
        <v>330</v>
      </c>
      <c r="D127" s="2298">
        <f>$F$3</f>
        <v>2015</v>
      </c>
      <c r="E127" s="2300">
        <f>'נספח 2 לטופס 1'!I15</f>
        <v>294468.79000000004</v>
      </c>
      <c r="F127" s="2304" t="s">
        <v>331</v>
      </c>
      <c r="G127" s="2740" t="s">
        <v>332</v>
      </c>
      <c r="H127" s="2298">
        <f>$F$3</f>
        <v>2015</v>
      </c>
      <c r="I127" s="2306">
        <v>294469</v>
      </c>
      <c r="J127" s="2312" t="str">
        <f t="shared" si="19"/>
        <v/>
      </c>
      <c r="K127" s="2303">
        <f t="shared" si="20"/>
        <v>-0.2099999999627471</v>
      </c>
      <c r="L127" s="2729" t="str">
        <f t="shared" si="21"/>
        <v>אין התאמה בין סה"כ חיוב ארנונה לבין סכום החוב הכולל מנספח ב לדוח הביקורת המפורט</v>
      </c>
      <c r="M127" s="2746" t="s">
        <v>2462</v>
      </c>
      <c r="N127" s="2280"/>
      <c r="P127" s="2665" t="s">
        <v>333</v>
      </c>
    </row>
    <row r="128" spans="1:16" ht="33.75" customHeight="1">
      <c r="A128" s="2297">
        <v>79</v>
      </c>
      <c r="B128" s="2298" t="s">
        <v>1210</v>
      </c>
      <c r="C128" s="2662" t="s">
        <v>335</v>
      </c>
      <c r="D128" s="2298">
        <f>$F$3</f>
        <v>2015</v>
      </c>
      <c r="E128" s="2300">
        <f>'נספח 2 לטופס 1'!E12</f>
        <v>222234.23</v>
      </c>
      <c r="F128" s="2985" t="s">
        <v>666</v>
      </c>
      <c r="G128" s="2740" t="s">
        <v>155</v>
      </c>
      <c r="H128" s="2298">
        <f t="shared" ref="H128:H159" si="22">$F$3</f>
        <v>2015</v>
      </c>
      <c r="I128" s="2300">
        <f>'נספח 2 לטופס 1 - פירוט ד'!D10</f>
        <v>0</v>
      </c>
      <c r="J128" s="2651"/>
      <c r="K128" s="2303"/>
      <c r="L128" s="2729"/>
      <c r="M128" s="2746"/>
      <c r="N128" s="2280"/>
    </row>
    <row r="129" spans="1:16" ht="33.75" customHeight="1">
      <c r="A129" s="2297"/>
      <c r="B129" s="2298" t="s">
        <v>1210</v>
      </c>
      <c r="C129" s="2662" t="s">
        <v>1310</v>
      </c>
      <c r="D129" s="2298">
        <f>$F$3</f>
        <v>2015</v>
      </c>
      <c r="E129" s="2300">
        <f>'נספח 2 לטופס 1'!E13</f>
        <v>323249.56000000006</v>
      </c>
      <c r="F129" s="2985" t="s">
        <v>666</v>
      </c>
      <c r="G129" s="2740" t="s">
        <v>156</v>
      </c>
      <c r="H129" s="2298">
        <f t="shared" si="22"/>
        <v>2015</v>
      </c>
      <c r="I129" s="2300">
        <f>'נספח 2 לטופס 1 - פירוט ד'!D11</f>
        <v>5637</v>
      </c>
      <c r="J129" s="2651"/>
      <c r="K129" s="2303"/>
      <c r="L129" s="2729"/>
      <c r="M129" s="2746"/>
      <c r="N129" s="2280"/>
    </row>
    <row r="130" spans="1:16" ht="39.6">
      <c r="A130" s="2297"/>
      <c r="B130" s="2298"/>
      <c r="C130" s="2662" t="s">
        <v>782</v>
      </c>
      <c r="D130" s="2298"/>
      <c r="E130" s="2983">
        <f>E128+E129</f>
        <v>545483.79</v>
      </c>
      <c r="F130" s="2985" t="s">
        <v>666</v>
      </c>
      <c r="G130" s="2740" t="s">
        <v>157</v>
      </c>
      <c r="H130" s="2298">
        <f t="shared" si="22"/>
        <v>2015</v>
      </c>
      <c r="I130" s="2300">
        <f>'נספח 2 לטופס 1 - פירוט ד'!D13</f>
        <v>6466</v>
      </c>
      <c r="J130" s="2651"/>
      <c r="K130" s="2303"/>
      <c r="L130" s="2729"/>
      <c r="M130" s="2746"/>
      <c r="N130" s="2280"/>
    </row>
    <row r="131" spans="1:16" ht="33.75" customHeight="1">
      <c r="A131" s="2297"/>
      <c r="B131" s="2298"/>
      <c r="C131" s="2662"/>
      <c r="D131" s="2298"/>
      <c r="E131" s="2300"/>
      <c r="F131" s="2985" t="s">
        <v>666</v>
      </c>
      <c r="G131" s="2740" t="s">
        <v>158</v>
      </c>
      <c r="H131" s="2298">
        <f t="shared" si="22"/>
        <v>2015</v>
      </c>
      <c r="I131" s="2300">
        <f>'נספח 2 לטופס 1 - פירוט ד'!D20</f>
        <v>528610.79</v>
      </c>
      <c r="J131" s="2651"/>
      <c r="K131" s="2303"/>
      <c r="L131" s="2729"/>
      <c r="M131" s="2746"/>
      <c r="N131" s="2280"/>
    </row>
    <row r="132" spans="1:16" ht="33.75" customHeight="1">
      <c r="A132" s="2297"/>
      <c r="B132" s="2298"/>
      <c r="C132" s="2662"/>
      <c r="D132" s="2298"/>
      <c r="E132" s="2300"/>
      <c r="F132" s="2985" t="s">
        <v>666</v>
      </c>
      <c r="G132" s="2740" t="s">
        <v>159</v>
      </c>
      <c r="H132" s="2298">
        <f t="shared" si="22"/>
        <v>2015</v>
      </c>
      <c r="I132" s="2300">
        <f>'נספח 2 לטופס 1 - פירוט ד'!D21</f>
        <v>2932</v>
      </c>
      <c r="J132" s="2651"/>
      <c r="K132" s="2303"/>
      <c r="L132" s="2729"/>
      <c r="M132" s="2746"/>
      <c r="N132" s="2280"/>
    </row>
    <row r="133" spans="1:16" ht="51" customHeight="1">
      <c r="A133" s="2297"/>
      <c r="B133" s="2298"/>
      <c r="C133" s="2662"/>
      <c r="D133" s="2298"/>
      <c r="E133" s="2300"/>
      <c r="F133" s="2985" t="s">
        <v>666</v>
      </c>
      <c r="G133" s="2740" t="s">
        <v>160</v>
      </c>
      <c r="H133" s="2298">
        <f t="shared" si="22"/>
        <v>2015</v>
      </c>
      <c r="I133" s="2300">
        <f>'נספח 2 לטופס 1 - פירוט ד'!D23</f>
        <v>1838</v>
      </c>
      <c r="J133" s="2651"/>
      <c r="K133" s="2303"/>
      <c r="L133" s="2729"/>
      <c r="M133" s="2746"/>
      <c r="N133" s="2280"/>
    </row>
    <row r="134" spans="1:16" ht="30.6">
      <c r="A134" s="2297"/>
      <c r="B134" s="2298"/>
      <c r="C134" s="2662"/>
      <c r="D134" s="2298"/>
      <c r="E134" s="2300">
        <f>E128+E129</f>
        <v>545483.79</v>
      </c>
      <c r="F134" s="2984"/>
      <c r="G134" s="2740" t="s">
        <v>782</v>
      </c>
      <c r="H134" s="2298"/>
      <c r="I134" s="2983">
        <f>SUM(I128:I133)</f>
        <v>545483.79</v>
      </c>
      <c r="J134" s="2312" t="str">
        <f>IF(E130=I134,$B$3,"")</f>
        <v>תקין</v>
      </c>
      <c r="K134" s="2303" t="str">
        <f>IF(E130&lt;&gt;I134,E130-I134,"")</f>
        <v/>
      </c>
      <c r="L134" s="2729" t="str">
        <f>IF(E130&lt;&gt;I134,P134,"")</f>
        <v/>
      </c>
      <c r="M134" s="2746"/>
      <c r="N134" s="2280"/>
      <c r="P134" s="2665" t="s">
        <v>169</v>
      </c>
    </row>
    <row r="135" spans="1:16" ht="26.4">
      <c r="A135" s="2297">
        <v>80</v>
      </c>
      <c r="B135" s="2298" t="s">
        <v>1210</v>
      </c>
      <c r="C135" s="2662" t="s">
        <v>161</v>
      </c>
      <c r="D135" s="2298">
        <f>$F$3</f>
        <v>2015</v>
      </c>
      <c r="E135" s="2300">
        <f>IF('נספח 2 לטופס 1'!E17&lt;&gt;0,'נספח 2 לטופס 1'!E17,'נספח 2 לטופס 1'!E16)</f>
        <v>36</v>
      </c>
      <c r="F135" s="2985" t="s">
        <v>666</v>
      </c>
      <c r="G135" s="2740" t="s">
        <v>162</v>
      </c>
      <c r="H135" s="2298">
        <f t="shared" si="22"/>
        <v>2015</v>
      </c>
      <c r="I135" s="2300">
        <f>'נספח 2 לטופס 1 - פירוט ד'!H10</f>
        <v>0</v>
      </c>
      <c r="J135" s="2651"/>
      <c r="K135" s="2303"/>
      <c r="L135" s="2729"/>
      <c r="M135" s="2746"/>
      <c r="N135" s="2280"/>
    </row>
    <row r="136" spans="1:16" ht="26.4">
      <c r="A136" s="2297"/>
      <c r="B136" s="2298"/>
      <c r="C136" s="2662"/>
      <c r="D136" s="2298"/>
      <c r="E136" s="2300"/>
      <c r="F136" s="2985" t="s">
        <v>666</v>
      </c>
      <c r="G136" s="2740" t="s">
        <v>163</v>
      </c>
      <c r="H136" s="2298">
        <f t="shared" si="22"/>
        <v>2015</v>
      </c>
      <c r="I136" s="2300">
        <f>'נספח 2 לטופס 1 - פירוט ד'!H11</f>
        <v>0</v>
      </c>
      <c r="J136" s="2651"/>
      <c r="K136" s="2303"/>
      <c r="L136" s="2729"/>
      <c r="M136" s="2746"/>
      <c r="N136" s="2280"/>
    </row>
    <row r="137" spans="1:16" ht="39.6">
      <c r="A137" s="2297"/>
      <c r="B137" s="2298"/>
      <c r="C137" s="2662"/>
      <c r="D137" s="2298"/>
      <c r="E137" s="2300"/>
      <c r="F137" s="2985" t="s">
        <v>666</v>
      </c>
      <c r="G137" s="2740" t="s">
        <v>164</v>
      </c>
      <c r="H137" s="2298">
        <f t="shared" si="22"/>
        <v>2015</v>
      </c>
      <c r="I137" s="2300">
        <f>'נספח 2 לטופס 1 - פירוט ד'!H13</f>
        <v>36</v>
      </c>
      <c r="J137" s="2651"/>
      <c r="K137" s="2303"/>
      <c r="L137" s="2729"/>
      <c r="M137" s="2746"/>
      <c r="N137" s="2280"/>
    </row>
    <row r="138" spans="1:16" ht="26.4">
      <c r="A138" s="2297"/>
      <c r="B138" s="2298"/>
      <c r="C138" s="2662"/>
      <c r="D138" s="2298"/>
      <c r="E138" s="2300"/>
      <c r="F138" s="2985" t="s">
        <v>666</v>
      </c>
      <c r="G138" s="2740" t="s">
        <v>165</v>
      </c>
      <c r="H138" s="2298">
        <f t="shared" si="22"/>
        <v>2015</v>
      </c>
      <c r="I138" s="2300">
        <f>'נספח 2 לטופס 1 - פירוט ד'!H20</f>
        <v>0</v>
      </c>
      <c r="J138" s="2651"/>
      <c r="K138" s="2303"/>
      <c r="L138" s="2729"/>
      <c r="M138" s="2746"/>
      <c r="N138" s="2280"/>
    </row>
    <row r="139" spans="1:16" ht="26.4">
      <c r="A139" s="2297"/>
      <c r="B139" s="2298"/>
      <c r="C139" s="2662"/>
      <c r="D139" s="2298"/>
      <c r="E139" s="2300"/>
      <c r="F139" s="2985" t="s">
        <v>666</v>
      </c>
      <c r="G139" s="2740" t="s">
        <v>166</v>
      </c>
      <c r="H139" s="2298">
        <f t="shared" si="22"/>
        <v>2015</v>
      </c>
      <c r="I139" s="2300">
        <f>'נספח 2 לטופס 1 - פירוט ד'!H21</f>
        <v>0</v>
      </c>
      <c r="J139" s="2651"/>
      <c r="K139" s="2303"/>
      <c r="L139" s="2729"/>
      <c r="M139" s="2746"/>
      <c r="N139" s="2280"/>
    </row>
    <row r="140" spans="1:16" ht="39.6">
      <c r="A140" s="2297"/>
      <c r="B140" s="2298"/>
      <c r="C140" s="2662"/>
      <c r="D140" s="2298"/>
      <c r="E140" s="2300"/>
      <c r="F140" s="2985" t="s">
        <v>666</v>
      </c>
      <c r="G140" s="2740" t="s">
        <v>167</v>
      </c>
      <c r="H140" s="2298">
        <f t="shared" si="22"/>
        <v>2015</v>
      </c>
      <c r="I140" s="2300">
        <f>'נספח 2 לטופס 1 - פירוט ד'!H23</f>
        <v>0</v>
      </c>
      <c r="J140" s="2651"/>
      <c r="K140" s="2303"/>
      <c r="L140" s="2729"/>
      <c r="M140" s="2746"/>
      <c r="N140" s="2280"/>
    </row>
    <row r="141" spans="1:16" ht="30.6">
      <c r="A141" s="2297"/>
      <c r="B141" s="2298"/>
      <c r="C141" s="2662"/>
      <c r="D141" s="2298"/>
      <c r="E141" s="2300"/>
      <c r="F141" s="2984"/>
      <c r="G141" s="2740" t="s">
        <v>782</v>
      </c>
      <c r="H141" s="2298"/>
      <c r="I141" s="2983">
        <f>SUM(I135:I140)</f>
        <v>36</v>
      </c>
      <c r="J141" s="2312" t="str">
        <f>IF(E135=I141,$B$3,"")</f>
        <v>תקין</v>
      </c>
      <c r="K141" s="2303" t="str">
        <f>IF(E135&lt;&gt;I141,E135-I141,"")</f>
        <v/>
      </c>
      <c r="L141" s="2729" t="str">
        <f>IF(E135&lt;&gt;I141,P141,"")</f>
        <v/>
      </c>
      <c r="M141" s="2746"/>
      <c r="N141" s="2280"/>
      <c r="P141" s="2665" t="s">
        <v>168</v>
      </c>
    </row>
    <row r="142" spans="1:16" ht="26.4">
      <c r="A142" s="2961">
        <v>81</v>
      </c>
      <c r="B142" s="2298" t="s">
        <v>1210</v>
      </c>
      <c r="C142" s="2740" t="s">
        <v>1533</v>
      </c>
      <c r="D142" s="2298">
        <f>$F$3</f>
        <v>2015</v>
      </c>
      <c r="E142" s="2300">
        <f>'נספח 2 לטופס 1 - פירוט א'!H9+'נספח 2 לטופס 1 - פירוט א'!H10</f>
        <v>8569</v>
      </c>
      <c r="F142" s="2985" t="s">
        <v>666</v>
      </c>
      <c r="G142" s="2740" t="s">
        <v>1534</v>
      </c>
      <c r="H142" s="2298">
        <f t="shared" si="22"/>
        <v>2015</v>
      </c>
      <c r="I142" s="2300">
        <f>'נספח 2 לטופס 1 - פירוט ד'!D10+'נספח 2 לטופס 1 - פירוט ד'!D11+'נספח 2 לטופס 1 - פירוט ד'!D21</f>
        <v>8569</v>
      </c>
      <c r="J142" s="2312" t="str">
        <f t="shared" ref="J142" si="23">IF(E142=I142,$B$3,"")</f>
        <v>תקין</v>
      </c>
      <c r="K142" s="2303" t="str">
        <f t="shared" ref="K142" si="24">IF(E142&lt;&gt;I142,E142-I142,"")</f>
        <v/>
      </c>
      <c r="L142" s="2729" t="str">
        <f t="shared" ref="L142" si="25">IF(E142&lt;&gt;I142,P142,"")</f>
        <v/>
      </c>
      <c r="M142" s="2746"/>
      <c r="N142" s="2280"/>
      <c r="P142" s="2665" t="s">
        <v>1535</v>
      </c>
    </row>
    <row r="143" spans="1:16" ht="39.6">
      <c r="A143" s="2297">
        <v>82</v>
      </c>
      <c r="B143" s="2298" t="s">
        <v>1210</v>
      </c>
      <c r="C143" s="2662" t="s">
        <v>1283</v>
      </c>
      <c r="D143" s="2298">
        <f>$F$3</f>
        <v>2015</v>
      </c>
      <c r="E143" s="2300">
        <f>-1*('נספח 2 לטופס 1'!L14)</f>
        <v>-4240</v>
      </c>
      <c r="F143" s="2985" t="s">
        <v>666</v>
      </c>
      <c r="G143" s="2740" t="s">
        <v>170</v>
      </c>
      <c r="H143" s="2298">
        <f t="shared" si="22"/>
        <v>2015</v>
      </c>
      <c r="I143" s="2300">
        <f>'נספח 2 לטופס 1 - פירוט ד'!D12</f>
        <v>-4240</v>
      </c>
      <c r="J143" s="2651"/>
      <c r="K143" s="2303"/>
      <c r="L143" s="2729"/>
      <c r="M143" s="2746"/>
      <c r="N143" s="2280"/>
    </row>
    <row r="144" spans="1:16" ht="49.5" customHeight="1">
      <c r="A144" s="2297"/>
      <c r="B144" s="2298"/>
      <c r="C144" s="2662"/>
      <c r="D144" s="2298"/>
      <c r="E144" s="2300"/>
      <c r="F144" s="2985" t="s">
        <v>666</v>
      </c>
      <c r="G144" s="2740" t="s">
        <v>171</v>
      </c>
      <c r="H144" s="2298">
        <f t="shared" si="22"/>
        <v>2015</v>
      </c>
      <c r="I144" s="2300">
        <f>'נספח 2 לטופס 1 - פירוט ד'!D22</f>
        <v>0</v>
      </c>
      <c r="J144" s="2651"/>
      <c r="K144" s="2303"/>
      <c r="L144" s="2729"/>
      <c r="M144" s="2746"/>
      <c r="N144" s="2280"/>
    </row>
    <row r="145" spans="1:16" ht="40.799999999999997">
      <c r="A145" s="2297"/>
      <c r="B145" s="2298"/>
      <c r="C145" s="2662"/>
      <c r="D145" s="2298"/>
      <c r="E145" s="2300"/>
      <c r="F145" s="2984"/>
      <c r="G145" s="2740" t="s">
        <v>782</v>
      </c>
      <c r="H145" s="2298"/>
      <c r="I145" s="2983">
        <f>SUM(I143:I144)</f>
        <v>-4240</v>
      </c>
      <c r="J145" s="2312" t="str">
        <f>IF(E143=I145,$B$3,"")</f>
        <v>תקין</v>
      </c>
      <c r="K145" s="2303" t="str">
        <f>IF(E143&lt;&gt;I145,E143-I145,"")</f>
        <v/>
      </c>
      <c r="L145" s="2729" t="str">
        <f>IF(E143&lt;&gt;I145,P145,"")</f>
        <v/>
      </c>
      <c r="M145" s="2746"/>
      <c r="N145" s="2280"/>
      <c r="P145" s="2665" t="s">
        <v>175</v>
      </c>
    </row>
    <row r="146" spans="1:16" ht="39.6">
      <c r="A146" s="2297">
        <v>83</v>
      </c>
      <c r="B146" s="2298" t="s">
        <v>1210</v>
      </c>
      <c r="C146" s="2662" t="s">
        <v>172</v>
      </c>
      <c r="D146" s="2298">
        <f>$F$3</f>
        <v>2015</v>
      </c>
      <c r="E146" s="2300">
        <f>-'נספח 2 לטופס 1'!L18</f>
        <v>785</v>
      </c>
      <c r="F146" s="2985" t="s">
        <v>666</v>
      </c>
      <c r="G146" s="2740" t="s">
        <v>173</v>
      </c>
      <c r="H146" s="2298">
        <f t="shared" si="22"/>
        <v>2015</v>
      </c>
      <c r="I146" s="2300">
        <f>'נספח 2 לטופס 1 - פירוט ד'!H12</f>
        <v>785</v>
      </c>
      <c r="J146" s="2651"/>
      <c r="K146" s="2303"/>
      <c r="L146" s="2729"/>
      <c r="M146" s="2746"/>
      <c r="N146" s="2280"/>
    </row>
    <row r="147" spans="1:16" ht="39.6">
      <c r="A147" s="2297"/>
      <c r="B147" s="2298"/>
      <c r="C147" s="2662"/>
      <c r="D147" s="2298"/>
      <c r="E147" s="2300"/>
      <c r="F147" s="2985" t="s">
        <v>666</v>
      </c>
      <c r="G147" s="2740" t="s">
        <v>174</v>
      </c>
      <c r="H147" s="2298">
        <f t="shared" si="22"/>
        <v>2015</v>
      </c>
      <c r="I147" s="2300">
        <f>'נספח 2 לטופס 1 - פירוט ד'!H22</f>
        <v>0</v>
      </c>
      <c r="J147" s="2651"/>
      <c r="K147" s="2303"/>
      <c r="L147" s="2729"/>
      <c r="M147" s="2746"/>
      <c r="N147" s="2280"/>
    </row>
    <row r="148" spans="1:16" ht="40.799999999999997">
      <c r="A148" s="2297"/>
      <c r="B148" s="2298"/>
      <c r="C148" s="2662"/>
      <c r="D148" s="2298"/>
      <c r="E148" s="2300"/>
      <c r="F148" s="2984"/>
      <c r="G148" s="2740" t="s">
        <v>782</v>
      </c>
      <c r="H148" s="2298"/>
      <c r="I148" s="2983">
        <f>SUM(I146:I147)</f>
        <v>785</v>
      </c>
      <c r="J148" s="2312" t="str">
        <f>IF(E146=I148,$B$3,"")</f>
        <v>תקין</v>
      </c>
      <c r="K148" s="2303" t="str">
        <f>IF(E146&lt;&gt;I148,E146-I148,"")</f>
        <v/>
      </c>
      <c r="L148" s="2729" t="str">
        <f>IF(E146&lt;&gt;I148,P148,"")</f>
        <v/>
      </c>
      <c r="M148" s="2746"/>
      <c r="N148" s="2280"/>
      <c r="P148" s="2665" t="s">
        <v>176</v>
      </c>
    </row>
    <row r="149" spans="1:16" ht="39.6">
      <c r="A149" s="2297">
        <v>84</v>
      </c>
      <c r="B149" s="2298" t="s">
        <v>1210</v>
      </c>
      <c r="C149" s="2662" t="s">
        <v>1311</v>
      </c>
      <c r="D149" s="2298">
        <f>$F$3</f>
        <v>2015</v>
      </c>
      <c r="E149" s="2300">
        <f>'נספח 2 לטופס 1'!F12</f>
        <v>33069</v>
      </c>
      <c r="F149" s="2985" t="s">
        <v>666</v>
      </c>
      <c r="G149" s="2740" t="s">
        <v>185</v>
      </c>
      <c r="H149" s="2298">
        <f t="shared" si="22"/>
        <v>2015</v>
      </c>
      <c r="I149" s="2310">
        <f>-1*('נספח 2 לטופס 1 - פירוט ד'!D14)</f>
        <v>4609</v>
      </c>
      <c r="J149" s="2651"/>
      <c r="K149" s="2303"/>
      <c r="L149" s="2729"/>
      <c r="M149" s="2746"/>
      <c r="N149" s="2280"/>
    </row>
    <row r="150" spans="1:16" ht="39.6">
      <c r="A150" s="2297"/>
      <c r="B150" s="2298" t="s">
        <v>1210</v>
      </c>
      <c r="C150" s="2662" t="s">
        <v>1312</v>
      </c>
      <c r="D150" s="2298">
        <f>$F$3</f>
        <v>2015</v>
      </c>
      <c r="E150" s="2300">
        <f>'נספח 2 לטופס 1'!F13</f>
        <v>14126</v>
      </c>
      <c r="F150" s="2985" t="s">
        <v>666</v>
      </c>
      <c r="G150" s="2740" t="s">
        <v>186</v>
      </c>
      <c r="H150" s="2298">
        <f t="shared" si="22"/>
        <v>2015</v>
      </c>
      <c r="I150" s="2310">
        <f>-1*('נספח 2 לטופס 1 - פירוט ד'!D24)</f>
        <v>42586</v>
      </c>
      <c r="J150" s="2651"/>
      <c r="K150" s="2303"/>
      <c r="L150" s="2729"/>
      <c r="M150" s="2746"/>
      <c r="N150" s="2280"/>
    </row>
    <row r="151" spans="1:16" ht="30.6">
      <c r="A151" s="2297"/>
      <c r="B151" s="2298"/>
      <c r="C151" s="2662"/>
      <c r="D151" s="2298"/>
      <c r="E151" s="2983">
        <f>E149+E150</f>
        <v>47195</v>
      </c>
      <c r="F151" s="2984"/>
      <c r="G151" s="2740" t="s">
        <v>782</v>
      </c>
      <c r="H151" s="2298"/>
      <c r="I151" s="2983">
        <f>SUM(I149:I150)</f>
        <v>47195</v>
      </c>
      <c r="J151" s="2312" t="str">
        <f>IF(E151=I151,$B$3,"")</f>
        <v>תקין</v>
      </c>
      <c r="K151" s="2303" t="str">
        <f>IF(E151&lt;&gt;I151,E151-I151,"")</f>
        <v/>
      </c>
      <c r="L151" s="2729" t="str">
        <f>IF(E151&lt;&gt;I151,P151,"")</f>
        <v/>
      </c>
      <c r="M151" s="2746"/>
      <c r="N151" s="2280"/>
      <c r="P151" s="2665" t="s">
        <v>187</v>
      </c>
    </row>
    <row r="152" spans="1:16" ht="39.6">
      <c r="A152" s="2297">
        <v>85</v>
      </c>
      <c r="B152" s="2298" t="s">
        <v>1210</v>
      </c>
      <c r="C152" s="2662" t="s">
        <v>188</v>
      </c>
      <c r="D152" s="2298">
        <f>$F$3</f>
        <v>2015</v>
      </c>
      <c r="E152" s="2300">
        <f>IF('נספח 2 לטופס 1'!F17&lt;&gt;0,'נספח 2 לטופס 1'!F17,'נספח 2 לטופס 1'!F16)</f>
        <v>0</v>
      </c>
      <c r="F152" s="2985" t="s">
        <v>666</v>
      </c>
      <c r="G152" s="2740" t="s">
        <v>189</v>
      </c>
      <c r="H152" s="2298">
        <f t="shared" si="22"/>
        <v>2015</v>
      </c>
      <c r="I152" s="2310">
        <f>-1*('נספח 2 לטופס 1 - פירוט ד'!H14)</f>
        <v>0</v>
      </c>
      <c r="J152" s="2651"/>
      <c r="K152" s="2303"/>
      <c r="L152" s="2729"/>
      <c r="M152" s="2746"/>
      <c r="N152" s="2280"/>
    </row>
    <row r="153" spans="1:16" ht="39" customHeight="1">
      <c r="A153" s="2297"/>
      <c r="B153" s="2298"/>
      <c r="C153" s="2662"/>
      <c r="D153" s="2298"/>
      <c r="E153" s="2300"/>
      <c r="F153" s="2985" t="s">
        <v>666</v>
      </c>
      <c r="G153" s="2740" t="s">
        <v>190</v>
      </c>
      <c r="H153" s="2298">
        <f t="shared" si="22"/>
        <v>2015</v>
      </c>
      <c r="I153" s="2310">
        <f>-1*('נספח 2 לטופס 1 - פירוט ד'!H24)</f>
        <v>0</v>
      </c>
      <c r="J153" s="2651"/>
      <c r="K153" s="2303"/>
      <c r="L153" s="2729"/>
      <c r="M153" s="2746"/>
      <c r="N153" s="2280"/>
    </row>
    <row r="154" spans="1:16" ht="30.6">
      <c r="A154" s="2297"/>
      <c r="B154" s="2298"/>
      <c r="C154" s="2662"/>
      <c r="D154" s="2298"/>
      <c r="E154" s="2300"/>
      <c r="F154" s="2984"/>
      <c r="G154" s="2740" t="s">
        <v>782</v>
      </c>
      <c r="H154" s="2298"/>
      <c r="I154" s="2983">
        <f>SUM(I152:I153)</f>
        <v>0</v>
      </c>
      <c r="J154" s="2312" t="str">
        <f>IF(E152=I154,$B$3,"")</f>
        <v>תקין</v>
      </c>
      <c r="K154" s="2303" t="str">
        <f>IF(E152&lt;&gt;I154,E152-I154,"")</f>
        <v/>
      </c>
      <c r="L154" s="2729" t="str">
        <f>IF(E152&lt;&gt;I154,P154,"")</f>
        <v/>
      </c>
      <c r="M154" s="2746"/>
      <c r="N154" s="2280"/>
      <c r="P154" s="2665" t="s">
        <v>191</v>
      </c>
    </row>
    <row r="155" spans="1:16" ht="26.4">
      <c r="A155" s="2297">
        <v>86</v>
      </c>
      <c r="B155" s="2298" t="s">
        <v>1210</v>
      </c>
      <c r="C155" s="2662" t="s">
        <v>192</v>
      </c>
      <c r="D155" s="2298">
        <f>$F$3</f>
        <v>2015</v>
      </c>
      <c r="E155" s="2300">
        <f>'נספח 2 לטופס 1'!H15</f>
        <v>491977</v>
      </c>
      <c r="F155" s="2985" t="s">
        <v>666</v>
      </c>
      <c r="G155" s="2740" t="s">
        <v>194</v>
      </c>
      <c r="H155" s="2298">
        <f t="shared" si="22"/>
        <v>2015</v>
      </c>
      <c r="I155" s="2310">
        <f>'נספח 2 לטופס 1 - פירוט ד'!D16</f>
        <v>55765</v>
      </c>
      <c r="J155" s="2312"/>
      <c r="K155" s="2303"/>
      <c r="L155" s="2729"/>
      <c r="M155" s="2746"/>
      <c r="N155" s="2280"/>
    </row>
    <row r="156" spans="1:16" ht="26.4">
      <c r="A156" s="2297"/>
      <c r="B156" s="2298"/>
      <c r="C156" s="2662"/>
      <c r="D156" s="2298"/>
      <c r="E156" s="2300"/>
      <c r="F156" s="2985" t="s">
        <v>666</v>
      </c>
      <c r="G156" s="2740" t="s">
        <v>193</v>
      </c>
      <c r="H156" s="2298">
        <f t="shared" si="22"/>
        <v>2015</v>
      </c>
      <c r="I156" s="2310">
        <f>'נספח 2 לטופס 1 - פירוט ד'!D30</f>
        <v>436212</v>
      </c>
      <c r="J156" s="2312"/>
      <c r="K156" s="2303"/>
      <c r="L156" s="2729"/>
      <c r="M156" s="2746"/>
      <c r="N156" s="2280"/>
    </row>
    <row r="157" spans="1:16" ht="30.6">
      <c r="A157" s="2297"/>
      <c r="B157" s="2298"/>
      <c r="C157" s="2662"/>
      <c r="D157" s="2298"/>
      <c r="E157" s="2300"/>
      <c r="F157" s="2984"/>
      <c r="G157" s="2740"/>
      <c r="H157" s="2298"/>
      <c r="I157" s="2983">
        <f>SUM(I155:I156)</f>
        <v>491977</v>
      </c>
      <c r="J157" s="2312" t="str">
        <f>IF(E155=I157,$B$3,"")</f>
        <v>תקין</v>
      </c>
      <c r="K157" s="2303" t="str">
        <f>IF(E155&lt;&gt;I157,E155-I157,"")</f>
        <v/>
      </c>
      <c r="L157" s="2729" t="str">
        <f>IF(E155&lt;&gt;I157,P157,"")</f>
        <v/>
      </c>
      <c r="M157" s="2746"/>
      <c r="N157" s="2280"/>
      <c r="P157" s="2665" t="s">
        <v>196</v>
      </c>
    </row>
    <row r="158" spans="1:16" ht="26.4">
      <c r="A158" s="2297">
        <v>87</v>
      </c>
      <c r="B158" s="2298" t="s">
        <v>1210</v>
      </c>
      <c r="C158" s="2662" t="s">
        <v>197</v>
      </c>
      <c r="D158" s="2298">
        <f>$F$3</f>
        <v>2015</v>
      </c>
      <c r="E158" s="2300">
        <f>IF('נספח 2 לטופס 1'!H19&lt;&gt;0,'נספח 2 לטופס 1'!H19,'נספח 2 לטופס 1'!H16)</f>
        <v>832</v>
      </c>
      <c r="F158" s="2985" t="s">
        <v>666</v>
      </c>
      <c r="G158" s="2740" t="s">
        <v>198</v>
      </c>
      <c r="H158" s="2298">
        <f t="shared" si="22"/>
        <v>2015</v>
      </c>
      <c r="I158" s="2310">
        <f>'נספח 2 לטופס 1 - פירוט ד'!H16</f>
        <v>832</v>
      </c>
      <c r="J158" s="2312"/>
      <c r="K158" s="2303"/>
      <c r="L158" s="2729"/>
      <c r="M158" s="2746"/>
      <c r="N158" s="2280"/>
    </row>
    <row r="159" spans="1:16" ht="26.4">
      <c r="A159" s="2297"/>
      <c r="B159" s="2298"/>
      <c r="C159" s="2662"/>
      <c r="D159" s="2298"/>
      <c r="E159" s="2300"/>
      <c r="F159" s="2985" t="s">
        <v>666</v>
      </c>
      <c r="G159" s="2740" t="s">
        <v>199</v>
      </c>
      <c r="H159" s="2298">
        <f t="shared" si="22"/>
        <v>2015</v>
      </c>
      <c r="I159" s="2310">
        <f>'נספח 2 לטופס 1 - פירוט ד'!H30</f>
        <v>0</v>
      </c>
      <c r="J159" s="2312"/>
      <c r="K159" s="2303"/>
      <c r="L159" s="2729"/>
      <c r="M159" s="2746"/>
      <c r="N159" s="2280"/>
    </row>
    <row r="160" spans="1:16" ht="30.6">
      <c r="A160" s="2297"/>
      <c r="B160" s="2298"/>
      <c r="C160" s="2662"/>
      <c r="D160" s="2298"/>
      <c r="E160" s="2300"/>
      <c r="F160" s="2984"/>
      <c r="G160" s="2740"/>
      <c r="H160" s="2298"/>
      <c r="I160" s="2983">
        <f>SUM(I158:I159)</f>
        <v>832</v>
      </c>
      <c r="J160" s="2312" t="str">
        <f>IF(E158=I160,$B$3,"")</f>
        <v>תקין</v>
      </c>
      <c r="K160" s="2303" t="str">
        <f>IF(E158&lt;&gt;I160,E158-I160,"")</f>
        <v/>
      </c>
      <c r="L160" s="2729" t="str">
        <f>IF(E158&lt;&gt;I160,P160,"")</f>
        <v/>
      </c>
      <c r="M160" s="2746"/>
      <c r="N160" s="2280"/>
      <c r="P160" s="2665" t="s">
        <v>209</v>
      </c>
    </row>
    <row r="161" spans="1:16" ht="26.4">
      <c r="A161" s="2297">
        <v>88</v>
      </c>
      <c r="B161" s="2298" t="s">
        <v>1210</v>
      </c>
      <c r="C161" s="2662" t="s">
        <v>178</v>
      </c>
      <c r="D161" s="2298">
        <f t="shared" ref="D161:D169" si="26">$F$3</f>
        <v>2015</v>
      </c>
      <c r="E161" s="2300">
        <f>'נספח 2 לטופס 1'!L15</f>
        <v>0</v>
      </c>
      <c r="F161" s="2984"/>
      <c r="G161" s="2740"/>
      <c r="H161" s="2298"/>
      <c r="I161" s="2310"/>
      <c r="J161" s="2312" t="str">
        <f>IF(E161=0,$B$3,"")</f>
        <v>תקין</v>
      </c>
      <c r="K161" s="2303" t="str">
        <f>IF(E161=0,"",E161)</f>
        <v/>
      </c>
      <c r="L161" s="2729" t="str">
        <f>IF(E161=0,"",P161)</f>
        <v/>
      </c>
      <c r="M161" s="2746"/>
      <c r="N161" s="2280"/>
      <c r="P161" s="2665" t="s">
        <v>177</v>
      </c>
    </row>
    <row r="162" spans="1:16" ht="26.4">
      <c r="A162" s="2297">
        <v>89</v>
      </c>
      <c r="B162" s="2298" t="s">
        <v>1210</v>
      </c>
      <c r="C162" s="2662" t="s">
        <v>179</v>
      </c>
      <c r="D162" s="2298">
        <f t="shared" si="26"/>
        <v>2015</v>
      </c>
      <c r="E162" s="2300">
        <f>'נספח 2 לטופס 1'!L19</f>
        <v>0</v>
      </c>
      <c r="F162" s="2984"/>
      <c r="G162" s="2740"/>
      <c r="H162" s="2298"/>
      <c r="I162" s="2310"/>
      <c r="J162" s="2312" t="str">
        <f>IF(E162=0,$B$3,"")</f>
        <v>תקין</v>
      </c>
      <c r="K162" s="2303" t="str">
        <f>IF(E162=0,"",E162)</f>
        <v/>
      </c>
      <c r="L162" s="2729" t="str">
        <f>IF(E162=0,"",P162)</f>
        <v/>
      </c>
      <c r="M162" s="2746"/>
      <c r="N162" s="2280"/>
      <c r="P162" s="2665" t="s">
        <v>180</v>
      </c>
    </row>
    <row r="163" spans="1:16" ht="39.6">
      <c r="A163" s="2297">
        <v>90</v>
      </c>
      <c r="B163" s="2298" t="s">
        <v>1210</v>
      </c>
      <c r="C163" s="2662" t="s">
        <v>181</v>
      </c>
      <c r="D163" s="2298">
        <f t="shared" si="26"/>
        <v>2015</v>
      </c>
      <c r="E163" s="2300">
        <f>'נספח 2 לטופס 1'!L23</f>
        <v>0</v>
      </c>
      <c r="F163" s="2984"/>
      <c r="G163" s="2740"/>
      <c r="H163" s="2298"/>
      <c r="I163" s="2310"/>
      <c r="J163" s="2312" t="str">
        <f>IF(E163=0,$B$3,"")</f>
        <v>תקין</v>
      </c>
      <c r="K163" s="2303" t="str">
        <f>IF(E163=0,"",E163)</f>
        <v/>
      </c>
      <c r="L163" s="2729" t="str">
        <f>IF(E163=0,"",P163)</f>
        <v/>
      </c>
      <c r="M163" s="2746"/>
      <c r="N163" s="2280"/>
      <c r="P163" s="2665" t="s">
        <v>182</v>
      </c>
    </row>
    <row r="164" spans="1:16" ht="39.6">
      <c r="A164" s="2297">
        <v>91</v>
      </c>
      <c r="B164" s="2298" t="s">
        <v>1210</v>
      </c>
      <c r="C164" s="2662" t="s">
        <v>183</v>
      </c>
      <c r="D164" s="2298">
        <f t="shared" si="26"/>
        <v>2015</v>
      </c>
      <c r="E164" s="2300">
        <f>'נספח 2 לטופס 1'!L43</f>
        <v>0</v>
      </c>
      <c r="F164" s="2984"/>
      <c r="G164" s="2740"/>
      <c r="H164" s="2298"/>
      <c r="I164" s="2310"/>
      <c r="J164" s="2312" t="str">
        <f>IF(E164=0,$B$3,"")</f>
        <v>תקין</v>
      </c>
      <c r="K164" s="2303" t="str">
        <f>IF(E164=0,"",E164)</f>
        <v/>
      </c>
      <c r="L164" s="2729" t="str">
        <f>IF(E164=0,"",P164)</f>
        <v/>
      </c>
      <c r="M164" s="2746"/>
      <c r="N164" s="2280"/>
      <c r="P164" s="2665" t="s">
        <v>184</v>
      </c>
    </row>
    <row r="165" spans="1:16" ht="30.6">
      <c r="A165" s="2297">
        <v>92</v>
      </c>
      <c r="B165" s="2740" t="s">
        <v>327</v>
      </c>
      <c r="C165" s="2976" t="s">
        <v>328</v>
      </c>
      <c r="D165" s="2298">
        <f t="shared" si="26"/>
        <v>2015</v>
      </c>
      <c r="E165" s="2300">
        <f>'נספח 2 לטופס 1 - פירוט א'!E12</f>
        <v>528610.79</v>
      </c>
      <c r="F165" s="2970" t="s">
        <v>326</v>
      </c>
      <c r="G165" s="2740" t="s">
        <v>59</v>
      </c>
      <c r="H165" s="2298">
        <f>$F$3</f>
        <v>2015</v>
      </c>
      <c r="I165" s="2310">
        <f>'נספח א'!L23+'נספח א'!L25</f>
        <v>528610.79</v>
      </c>
      <c r="J165" s="2312" t="str">
        <f>IF(E165=I165,$B$3,"")</f>
        <v>תקין</v>
      </c>
      <c r="K165" s="2303" t="str">
        <f>IF(E165&lt;&gt;I165,E165-I165,"")</f>
        <v/>
      </c>
      <c r="L165" s="2729" t="str">
        <f>IF(E165&lt;&gt;I165,P165,"")</f>
        <v/>
      </c>
      <c r="M165" s="2746"/>
      <c r="N165" s="2280"/>
      <c r="P165" s="2665" t="s">
        <v>202</v>
      </c>
    </row>
    <row r="166" spans="1:16" ht="26.4">
      <c r="A166" s="2297">
        <v>93</v>
      </c>
      <c r="B166" s="2740" t="s">
        <v>303</v>
      </c>
      <c r="C166" s="2976" t="s">
        <v>857</v>
      </c>
      <c r="D166" s="2298">
        <f t="shared" si="26"/>
        <v>2015</v>
      </c>
      <c r="E166" s="2300">
        <f>'נספח 2 לטופס 1 - פירוט ב'!H12</f>
        <v>42845</v>
      </c>
      <c r="F166" s="2301"/>
      <c r="G166" s="2298"/>
      <c r="H166" s="2298"/>
      <c r="I166" s="2310"/>
      <c r="J166" s="2651"/>
      <c r="K166" s="2303"/>
      <c r="L166" s="2729"/>
      <c r="M166" s="2746"/>
      <c r="N166" s="2280"/>
    </row>
    <row r="167" spans="1:16" ht="26.4">
      <c r="A167" s="2297"/>
      <c r="B167" s="2740" t="s">
        <v>303</v>
      </c>
      <c r="C167" s="2976" t="s">
        <v>858</v>
      </c>
      <c r="D167" s="2298">
        <f t="shared" si="26"/>
        <v>2015</v>
      </c>
      <c r="E167" s="2300">
        <f>'נספח 2 לטופס 1 - פירוט ב'!I12</f>
        <v>396</v>
      </c>
      <c r="F167" s="2301"/>
      <c r="G167" s="2298"/>
      <c r="H167" s="2298"/>
      <c r="I167" s="2310"/>
      <c r="J167" s="2651"/>
      <c r="K167" s="2303"/>
      <c r="L167" s="2729"/>
      <c r="M167" s="2746"/>
      <c r="N167" s="2280"/>
    </row>
    <row r="168" spans="1:16" ht="26.4">
      <c r="A168" s="2297"/>
      <c r="B168" s="2740" t="s">
        <v>303</v>
      </c>
      <c r="C168" s="2976" t="s">
        <v>1285</v>
      </c>
      <c r="D168" s="2298">
        <f t="shared" si="26"/>
        <v>2015</v>
      </c>
      <c r="E168" s="2300">
        <f>'נספח 2 לטופס 1 - פירוט ב'!F12</f>
        <v>0</v>
      </c>
      <c r="F168" s="2301"/>
      <c r="G168" s="2298"/>
      <c r="H168" s="2298"/>
      <c r="I168" s="2310"/>
      <c r="J168" s="2651"/>
      <c r="K168" s="2303"/>
      <c r="L168" s="2729"/>
      <c r="M168" s="2746"/>
      <c r="N168" s="2280"/>
    </row>
    <row r="169" spans="1:16" ht="26.4">
      <c r="A169" s="2297"/>
      <c r="B169" s="2740" t="s">
        <v>303</v>
      </c>
      <c r="C169" s="2976" t="s">
        <v>1284</v>
      </c>
      <c r="D169" s="2298">
        <f t="shared" si="26"/>
        <v>2015</v>
      </c>
      <c r="E169" s="2300">
        <f>'נספח 2 לטופס 1 - פירוט ב'!E12</f>
        <v>2519</v>
      </c>
      <c r="F169" s="2301"/>
      <c r="G169" s="2298"/>
      <c r="H169" s="2298"/>
      <c r="I169" s="2310"/>
      <c r="J169" s="2651"/>
      <c r="K169" s="2303"/>
      <c r="L169" s="2729"/>
      <c r="M169" s="2746"/>
      <c r="N169" s="2280"/>
    </row>
    <row r="170" spans="1:16">
      <c r="A170" s="2297"/>
      <c r="B170" s="2740"/>
      <c r="C170" s="2976"/>
      <c r="D170" s="2298"/>
      <c r="E170" s="2300"/>
      <c r="F170" s="2301"/>
      <c r="G170" s="2298"/>
      <c r="H170" s="2298"/>
      <c r="I170" s="2310"/>
      <c r="J170" s="2651"/>
      <c r="K170" s="2303"/>
      <c r="L170" s="2729"/>
      <c r="M170" s="2746"/>
      <c r="N170" s="2280"/>
    </row>
    <row r="171" spans="1:16" ht="20.399999999999999">
      <c r="A171" s="2297"/>
      <c r="B171" s="2740"/>
      <c r="C171" s="2976" t="s">
        <v>782</v>
      </c>
      <c r="D171" s="2298"/>
      <c r="E171" s="2653">
        <f>SUM(E166:E170)</f>
        <v>45760</v>
      </c>
      <c r="F171" s="2741" t="s">
        <v>1216</v>
      </c>
      <c r="G171" s="2740" t="s">
        <v>735</v>
      </c>
      <c r="H171" s="2298">
        <f>$F$3</f>
        <v>2015</v>
      </c>
      <c r="I171" s="2310">
        <f>'ביאור 4'!E23</f>
        <v>45760</v>
      </c>
      <c r="J171" s="2312" t="str">
        <f t="shared" ref="J171:J221" si="27">IF(E171=I171,$B$3,"")</f>
        <v>תקין</v>
      </c>
      <c r="K171" s="2303" t="str">
        <f t="shared" ref="K171:K221" si="28">IF(E171&lt;&gt;I171,E171-I171,"")</f>
        <v/>
      </c>
      <c r="L171" s="2729" t="str">
        <f t="shared" ref="L171:L221" si="29">IF(E171&lt;&gt;I171,P171,"")</f>
        <v/>
      </c>
      <c r="M171" s="2746"/>
      <c r="N171" s="2280"/>
      <c r="P171" s="2665" t="s">
        <v>304</v>
      </c>
    </row>
    <row r="172" spans="1:16" ht="26.4">
      <c r="A172" s="2297">
        <v>94</v>
      </c>
      <c r="B172" s="2740" t="s">
        <v>666</v>
      </c>
      <c r="C172" s="2662" t="s">
        <v>667</v>
      </c>
      <c r="D172" s="2298">
        <f>$F$3</f>
        <v>2015</v>
      </c>
      <c r="E172" s="2300">
        <f>'נספח 2 לטופס 1 - פירוט ד'!D9</f>
        <v>150029</v>
      </c>
      <c r="F172" s="2741" t="s">
        <v>1210</v>
      </c>
      <c r="G172" s="2740" t="s">
        <v>668</v>
      </c>
      <c r="H172" s="2298">
        <f>$F$3</f>
        <v>2015</v>
      </c>
      <c r="I172" s="2310">
        <f>'נספח 2 לטופס 1'!D15</f>
        <v>299879</v>
      </c>
      <c r="J172" s="2651"/>
      <c r="K172" s="2303"/>
      <c r="L172" s="2729"/>
      <c r="M172" s="2746"/>
      <c r="N172" s="2280"/>
    </row>
    <row r="173" spans="1:16" ht="38.25" customHeight="1">
      <c r="A173" s="2297"/>
      <c r="B173" s="2740"/>
      <c r="C173" s="2662"/>
      <c r="D173" s="2298"/>
      <c r="E173" s="2300"/>
      <c r="F173" s="2741" t="s">
        <v>1210</v>
      </c>
      <c r="G173" s="2740" t="s">
        <v>36</v>
      </c>
      <c r="H173" s="2298">
        <f>$F$3</f>
        <v>2015</v>
      </c>
      <c r="I173" s="2310">
        <f>'נספח 2 לטופס 1'!D14</f>
        <v>149850</v>
      </c>
      <c r="J173" s="2651"/>
      <c r="K173" s="2303"/>
      <c r="L173" s="2729"/>
      <c r="M173" s="2746"/>
      <c r="N173" s="2280"/>
    </row>
    <row r="174" spans="1:16" ht="30.6">
      <c r="A174" s="2297"/>
      <c r="B174" s="2740"/>
      <c r="C174" s="2662"/>
      <c r="D174" s="2298"/>
      <c r="E174" s="2300"/>
      <c r="F174" s="2741"/>
      <c r="G174" s="2740" t="s">
        <v>782</v>
      </c>
      <c r="H174" s="2298"/>
      <c r="I174" s="2983">
        <f>I172-I173</f>
        <v>150029</v>
      </c>
      <c r="J174" s="2312" t="str">
        <f>IF(E172=I174,$B$3,"")</f>
        <v>תקין</v>
      </c>
      <c r="K174" s="2303" t="str">
        <f>IF(E172&lt;&gt;I174,E172-I174,"")</f>
        <v/>
      </c>
      <c r="L174" s="2729" t="str">
        <f>IF(E172&lt;&gt;I174,P174,"")</f>
        <v/>
      </c>
      <c r="M174" s="2746"/>
      <c r="N174" s="2280"/>
      <c r="P174" s="2665" t="s">
        <v>669</v>
      </c>
    </row>
    <row r="175" spans="1:16" ht="26.4">
      <c r="A175" s="2297">
        <v>95</v>
      </c>
      <c r="B175" s="2740" t="s">
        <v>666</v>
      </c>
      <c r="C175" s="2662" t="s">
        <v>153</v>
      </c>
      <c r="D175" s="2298">
        <f>$F$3</f>
        <v>2015</v>
      </c>
      <c r="E175" s="2300">
        <f>'נספח 2 לטופס 1 - פירוט ד'!H9</f>
        <v>788</v>
      </c>
      <c r="F175" s="2741" t="s">
        <v>1210</v>
      </c>
      <c r="G175" s="2740" t="s">
        <v>154</v>
      </c>
      <c r="H175" s="2298">
        <f>$F$3</f>
        <v>2015</v>
      </c>
      <c r="I175" s="2310">
        <f>IF('נספח 2 לטופס 1'!D19&lt;&gt;0,'נספח 2 לטופס 1'!D19,'נספח 2 לטופס 1'!D16)</f>
        <v>23186</v>
      </c>
      <c r="J175" s="2651"/>
      <c r="K175" s="2303"/>
      <c r="L175" s="2729"/>
      <c r="M175" s="2746"/>
      <c r="N175" s="2280"/>
    </row>
    <row r="176" spans="1:16" ht="26.4">
      <c r="A176" s="2297"/>
      <c r="B176" s="2740"/>
      <c r="C176" s="2662"/>
      <c r="D176" s="2298"/>
      <c r="E176" s="2300"/>
      <c r="F176" s="2741" t="s">
        <v>1210</v>
      </c>
      <c r="G176" s="2740" t="s">
        <v>38</v>
      </c>
      <c r="H176" s="2298">
        <f>$F$3</f>
        <v>2015</v>
      </c>
      <c r="I176" s="2310">
        <f>'נספח 2 לטופס 1'!D18</f>
        <v>22398</v>
      </c>
      <c r="J176" s="2651"/>
      <c r="K176" s="2303"/>
      <c r="L176" s="2729"/>
      <c r="M176" s="2746"/>
      <c r="N176" s="2280"/>
    </row>
    <row r="177" spans="1:16">
      <c r="A177" s="2297"/>
      <c r="B177" s="2740"/>
      <c r="C177" s="2662"/>
      <c r="D177" s="2298"/>
      <c r="E177" s="2300"/>
      <c r="F177" s="2741"/>
      <c r="G177" s="2740"/>
      <c r="H177" s="2298"/>
      <c r="I177" s="2983">
        <f>I175-I176</f>
        <v>788</v>
      </c>
      <c r="J177" s="2312" t="str">
        <f>IF(E175=I177,$B$3,"")</f>
        <v>תקין</v>
      </c>
      <c r="K177" s="2303" t="str">
        <f>IF(E175&lt;&gt;I177,E175-I177,"")</f>
        <v/>
      </c>
      <c r="L177" s="2729" t="str">
        <f>IF(E175&lt;&gt;I177,P177,"")</f>
        <v/>
      </c>
      <c r="M177" s="2746"/>
      <c r="N177" s="2280"/>
    </row>
    <row r="178" spans="1:16" hidden="1">
      <c r="A178" s="2297"/>
      <c r="B178" s="2740"/>
      <c r="C178" s="2662"/>
      <c r="D178" s="2298"/>
      <c r="E178" s="2300"/>
      <c r="F178" s="2741"/>
      <c r="G178" s="2740"/>
      <c r="H178" s="2298"/>
      <c r="I178" s="2310"/>
      <c r="J178" s="2312"/>
      <c r="K178" s="2303"/>
      <c r="L178" s="2729"/>
      <c r="M178" s="2746"/>
      <c r="N178" s="2280"/>
    </row>
    <row r="179" spans="1:16" ht="26.4">
      <c r="A179" s="2961">
        <v>96</v>
      </c>
      <c r="B179" s="2740" t="s">
        <v>327</v>
      </c>
      <c r="C179" s="2662" t="s">
        <v>851</v>
      </c>
      <c r="D179" s="2298">
        <f>$F$3</f>
        <v>2015</v>
      </c>
      <c r="E179" s="2300">
        <f>'נספח 2 לטופס 1 - פירוט א'!E12</f>
        <v>528610.79</v>
      </c>
      <c r="F179" s="2740" t="s">
        <v>327</v>
      </c>
      <c r="G179" s="2740" t="s">
        <v>99</v>
      </c>
      <c r="H179" s="2298">
        <f>$F$3</f>
        <v>2015</v>
      </c>
      <c r="I179" s="2300">
        <f>'נספח 2 לטופס 1 - פירוט א'!H12</f>
        <v>14656</v>
      </c>
      <c r="J179" s="2312" t="str">
        <f>IF(OR(I179=0,E179=0),"",IF(ABS(I179/E179)&lt;=10%,$B$3,""))</f>
        <v>תקין</v>
      </c>
      <c r="K179" s="3165" t="str">
        <f>IF(OR(I179=0,E179=0),"",IF(ABS(I179/E179)&gt;10%,ABS(I179/E179),""))</f>
        <v/>
      </c>
      <c r="L179" s="2729" t="str">
        <f>IF(OR(E179=0,I179=0),"",IF(ABS(I179/E179)&gt;10%,P179,""))</f>
        <v/>
      </c>
      <c r="M179" s="2746"/>
      <c r="N179" s="2280"/>
      <c r="P179" s="2665" t="s">
        <v>2118</v>
      </c>
    </row>
    <row r="180" spans="1:16" s="2314" customFormat="1" ht="39" customHeight="1">
      <c r="A180" s="2297">
        <v>97</v>
      </c>
      <c r="B180" s="2298" t="s">
        <v>1255</v>
      </c>
      <c r="C180" s="2304" t="s">
        <v>1256</v>
      </c>
      <c r="D180" s="2298">
        <f>$F$3</f>
        <v>2015</v>
      </c>
      <c r="E180" s="2300">
        <f>'נספח 3 לטופס 1'!I8</f>
        <v>132509</v>
      </c>
      <c r="F180" s="2305" t="s">
        <v>1255</v>
      </c>
      <c r="G180" s="2298" t="s">
        <v>872</v>
      </c>
      <c r="H180" s="2298">
        <f>$G$3</f>
        <v>2014</v>
      </c>
      <c r="I180" s="2300">
        <f>'נספח 3 לטופס 1'!K12</f>
        <v>132509</v>
      </c>
      <c r="J180" s="2312" t="str">
        <f t="shared" si="27"/>
        <v>תקין</v>
      </c>
      <c r="K180" s="2303" t="str">
        <f t="shared" si="28"/>
        <v/>
      </c>
      <c r="L180" s="2729" t="str">
        <f t="shared" si="29"/>
        <v/>
      </c>
      <c r="M180" s="2746"/>
      <c r="N180" s="2313"/>
      <c r="P180" s="2665" t="s">
        <v>137</v>
      </c>
    </row>
    <row r="181" spans="1:16" s="2314" customFormat="1" ht="38.25" customHeight="1">
      <c r="A181" s="2297">
        <v>98</v>
      </c>
      <c r="B181" s="2298" t="s">
        <v>1255</v>
      </c>
      <c r="C181" s="2304" t="s">
        <v>1256</v>
      </c>
      <c r="D181" s="2298">
        <f>$G$3</f>
        <v>2014</v>
      </c>
      <c r="E181" s="2300">
        <f>'נספח 3 לטופס 1'!K8</f>
        <v>143139</v>
      </c>
      <c r="F181" s="2305" t="s">
        <v>1255</v>
      </c>
      <c r="G181" s="2298" t="s">
        <v>872</v>
      </c>
      <c r="H181" s="2298">
        <f>$H$3</f>
        <v>2013</v>
      </c>
      <c r="I181" s="2300">
        <f>'נספח 3 לטופס 1'!M12</f>
        <v>143139</v>
      </c>
      <c r="J181" s="2312" t="str">
        <f t="shared" si="27"/>
        <v>תקין</v>
      </c>
      <c r="K181" s="2303" t="str">
        <f t="shared" si="28"/>
        <v/>
      </c>
      <c r="L181" s="2729" t="str">
        <f t="shared" si="29"/>
        <v/>
      </c>
      <c r="M181" s="2746"/>
      <c r="N181" s="2313"/>
      <c r="P181" s="2665" t="s">
        <v>136</v>
      </c>
    </row>
    <row r="182" spans="1:16" s="2314" customFormat="1" ht="30" customHeight="1">
      <c r="A182" s="2297">
        <v>99</v>
      </c>
      <c r="B182" s="2298" t="s">
        <v>1255</v>
      </c>
      <c r="C182" s="2304" t="s">
        <v>874</v>
      </c>
      <c r="D182" s="2298">
        <f>$F$3</f>
        <v>2015</v>
      </c>
      <c r="E182" s="2300">
        <f>'נספח 3 לטופס 1'!I14</f>
        <v>128428</v>
      </c>
      <c r="F182" s="2305" t="s">
        <v>1255</v>
      </c>
      <c r="G182" s="2298" t="s">
        <v>1257</v>
      </c>
      <c r="H182" s="2298">
        <f>$F$3</f>
        <v>2015</v>
      </c>
      <c r="I182" s="2300">
        <f>'נספח 3 לטופס 1'!C43</f>
        <v>128428</v>
      </c>
      <c r="J182" s="2312" t="str">
        <f t="shared" si="27"/>
        <v>תקין</v>
      </c>
      <c r="K182" s="2303" t="str">
        <f t="shared" si="28"/>
        <v/>
      </c>
      <c r="L182" s="2729" t="str">
        <f t="shared" si="29"/>
        <v/>
      </c>
      <c r="M182" s="2746"/>
      <c r="N182" s="2313"/>
      <c r="P182" s="2665" t="s">
        <v>138</v>
      </c>
    </row>
    <row r="183" spans="1:16" s="2314" customFormat="1" ht="33" customHeight="1">
      <c r="A183" s="2297">
        <v>100</v>
      </c>
      <c r="B183" s="2298" t="s">
        <v>1255</v>
      </c>
      <c r="C183" s="2662" t="s">
        <v>275</v>
      </c>
      <c r="D183" s="2298">
        <f>$F$3</f>
        <v>2015</v>
      </c>
      <c r="E183" s="2300">
        <f>'נספח 3 לטופס 1'!C25</f>
        <v>34633</v>
      </c>
      <c r="F183" s="2305" t="s">
        <v>1255</v>
      </c>
      <c r="G183" s="2740" t="s">
        <v>276</v>
      </c>
      <c r="H183" s="2298">
        <f>$F$3</f>
        <v>2015</v>
      </c>
      <c r="I183" s="2300">
        <f>'נספח 3 לטופס 1'!C33</f>
        <v>34633</v>
      </c>
      <c r="J183" s="2312" t="str">
        <f t="shared" si="27"/>
        <v>תקין</v>
      </c>
      <c r="K183" s="2303" t="str">
        <f t="shared" si="28"/>
        <v/>
      </c>
      <c r="L183" s="2729" t="str">
        <f t="shared" si="29"/>
        <v/>
      </c>
      <c r="M183" s="2746"/>
      <c r="N183" s="2313"/>
      <c r="P183" s="2665" t="s">
        <v>278</v>
      </c>
    </row>
    <row r="184" spans="1:16" s="2314" customFormat="1" ht="34.5" customHeight="1">
      <c r="A184" s="2297">
        <v>101</v>
      </c>
      <c r="B184" s="2298" t="s">
        <v>1255</v>
      </c>
      <c r="C184" s="2662" t="s">
        <v>275</v>
      </c>
      <c r="D184" s="2298">
        <f>$G$3</f>
        <v>2014</v>
      </c>
      <c r="E184" s="2300">
        <f>'נספח 3 לטופס 1'!E25</f>
        <v>40282</v>
      </c>
      <c r="F184" s="2305" t="s">
        <v>1255</v>
      </c>
      <c r="G184" s="2740" t="s">
        <v>276</v>
      </c>
      <c r="H184" s="2298">
        <f>$G$3</f>
        <v>2014</v>
      </c>
      <c r="I184" s="2300">
        <f>'נספח 3 לטופס 1'!E33</f>
        <v>40282</v>
      </c>
      <c r="J184" s="2312" t="str">
        <f t="shared" si="27"/>
        <v>תקין</v>
      </c>
      <c r="K184" s="2303" t="str">
        <f t="shared" si="28"/>
        <v/>
      </c>
      <c r="L184" s="2729" t="str">
        <f t="shared" si="29"/>
        <v/>
      </c>
      <c r="M184" s="2746"/>
      <c r="N184" s="2313"/>
      <c r="P184" s="2665" t="s">
        <v>277</v>
      </c>
    </row>
    <row r="185" spans="1:16" s="2314" customFormat="1" ht="45" customHeight="1">
      <c r="A185" s="2297">
        <v>102</v>
      </c>
      <c r="B185" s="2298" t="s">
        <v>1255</v>
      </c>
      <c r="C185" s="2662" t="s">
        <v>1454</v>
      </c>
      <c r="D185" s="2298">
        <f>$F$3</f>
        <v>2015</v>
      </c>
      <c r="E185" s="2300">
        <f>'נספח 3 לטופס 1'!C25</f>
        <v>34633</v>
      </c>
      <c r="F185" s="2663" t="s">
        <v>1268</v>
      </c>
      <c r="G185" s="2740" t="s">
        <v>295</v>
      </c>
      <c r="H185" s="2298">
        <f>$F$3</f>
        <v>2015</v>
      </c>
      <c r="I185" s="2300">
        <f>'נספח 1 לטופס 2  המשך'!G14</f>
        <v>34633</v>
      </c>
      <c r="J185" s="2312" t="str">
        <f t="shared" si="27"/>
        <v>תקין</v>
      </c>
      <c r="K185" s="2303" t="str">
        <f t="shared" si="28"/>
        <v/>
      </c>
      <c r="L185" s="2729" t="str">
        <f t="shared" si="29"/>
        <v/>
      </c>
      <c r="M185" s="2746"/>
      <c r="N185" s="2313"/>
      <c r="P185" s="2665" t="s">
        <v>296</v>
      </c>
    </row>
    <row r="186" spans="1:16" s="2314" customFormat="1" ht="42" customHeight="1">
      <c r="A186" s="2297">
        <v>103</v>
      </c>
      <c r="B186" s="2298" t="s">
        <v>1255</v>
      </c>
      <c r="C186" s="2662" t="s">
        <v>1454</v>
      </c>
      <c r="D186" s="2298">
        <f>$G$3</f>
        <v>2014</v>
      </c>
      <c r="E186" s="2300">
        <f>'נספח 3 לטופס 1'!E25</f>
        <v>40282</v>
      </c>
      <c r="F186" s="2663" t="s">
        <v>1268</v>
      </c>
      <c r="G186" s="2740" t="s">
        <v>295</v>
      </c>
      <c r="H186" s="2298">
        <f>$G$3</f>
        <v>2014</v>
      </c>
      <c r="I186" s="2300">
        <f>'נספח 1 לטופס 2  המשך'!O14</f>
        <v>40282</v>
      </c>
      <c r="J186" s="2312" t="str">
        <f t="shared" si="27"/>
        <v>תקין</v>
      </c>
      <c r="K186" s="2303" t="str">
        <f t="shared" si="28"/>
        <v/>
      </c>
      <c r="L186" s="2729" t="str">
        <f t="shared" si="29"/>
        <v/>
      </c>
      <c r="M186" s="2746"/>
      <c r="N186" s="2313"/>
      <c r="P186" s="2665" t="s">
        <v>296</v>
      </c>
    </row>
    <row r="187" spans="1:16" s="2314" customFormat="1" ht="42" customHeight="1">
      <c r="A187" s="3274">
        <v>104</v>
      </c>
      <c r="B187" s="2298" t="s">
        <v>1255</v>
      </c>
      <c r="C187" s="3285" t="s">
        <v>2220</v>
      </c>
      <c r="D187" s="2298">
        <f>$G$3</f>
        <v>2014</v>
      </c>
      <c r="E187" s="2300">
        <f>+'נספח 3 לטופס 1'!K9</f>
        <v>15133</v>
      </c>
      <c r="F187" s="3294" t="s">
        <v>380</v>
      </c>
      <c r="G187" s="3279" t="s">
        <v>1204</v>
      </c>
      <c r="H187" s="2298">
        <f>$G$3</f>
        <v>2014</v>
      </c>
      <c r="I187" s="2300">
        <f>+'טופס 3'!I15</f>
        <v>15133</v>
      </c>
      <c r="J187" s="2312" t="str">
        <f t="shared" si="27"/>
        <v>תקין</v>
      </c>
      <c r="K187" s="2303" t="str">
        <f t="shared" ref="K187" si="30">IF(E187&lt;&gt;I187,E187-I187,"")</f>
        <v/>
      </c>
      <c r="L187" s="2729" t="str">
        <f t="shared" ref="L187" si="31">IF(E187&lt;&gt;I187,P187,"")</f>
        <v/>
      </c>
      <c r="M187" s="2746"/>
      <c r="N187" s="2313"/>
      <c r="P187" s="2665" t="s">
        <v>2221</v>
      </c>
    </row>
    <row r="188" spans="1:16" ht="32.25" customHeight="1">
      <c r="A188" s="2297">
        <v>105</v>
      </c>
      <c r="B188" s="2298" t="s">
        <v>1224</v>
      </c>
      <c r="C188" s="2304" t="s">
        <v>1258</v>
      </c>
      <c r="D188" s="2298">
        <f>$F$3</f>
        <v>2015</v>
      </c>
      <c r="E188" s="2300">
        <f>'נספח 1 לטופס 2'!H8</f>
        <v>836225</v>
      </c>
      <c r="F188" s="2301" t="s">
        <v>1213</v>
      </c>
      <c r="G188" s="2298" t="s">
        <v>1259</v>
      </c>
      <c r="H188" s="2298">
        <f>$F$3</f>
        <v>2015</v>
      </c>
      <c r="I188" s="2300">
        <f>'טופס 2'!E55</f>
        <v>836225</v>
      </c>
      <c r="J188" s="2312" t="str">
        <f t="shared" si="27"/>
        <v>תקין</v>
      </c>
      <c r="K188" s="2303" t="str">
        <f t="shared" si="28"/>
        <v/>
      </c>
      <c r="L188" s="2729" t="str">
        <f t="shared" si="29"/>
        <v/>
      </c>
      <c r="M188" s="2746"/>
      <c r="N188" s="2280"/>
      <c r="P188" s="2665" t="s">
        <v>139</v>
      </c>
    </row>
    <row r="189" spans="1:16" ht="30" customHeight="1">
      <c r="A189" s="2297">
        <v>106</v>
      </c>
      <c r="B189" s="2298" t="s">
        <v>1224</v>
      </c>
      <c r="C189" s="2304" t="s">
        <v>1260</v>
      </c>
      <c r="D189" s="2298">
        <f>$F$3</f>
        <v>2015</v>
      </c>
      <c r="E189" s="2300">
        <f>'נספח 1 לטופס 2'!H9</f>
        <v>836225</v>
      </c>
      <c r="F189" s="2301" t="s">
        <v>1213</v>
      </c>
      <c r="G189" s="2298" t="s">
        <v>1261</v>
      </c>
      <c r="H189" s="2298">
        <f>$F$3</f>
        <v>2015</v>
      </c>
      <c r="I189" s="2300">
        <f>'טופס 2'!N55</f>
        <v>836225</v>
      </c>
      <c r="J189" s="2312" t="str">
        <f t="shared" si="27"/>
        <v>תקין</v>
      </c>
      <c r="K189" s="2303" t="str">
        <f t="shared" si="28"/>
        <v/>
      </c>
      <c r="L189" s="2729" t="str">
        <f t="shared" si="29"/>
        <v/>
      </c>
      <c r="M189" s="2746"/>
      <c r="N189" s="2280"/>
      <c r="P189" s="2665" t="s">
        <v>139</v>
      </c>
    </row>
    <row r="190" spans="1:16" ht="30" customHeight="1">
      <c r="A190" s="2297">
        <v>107</v>
      </c>
      <c r="B190" s="2298" t="s">
        <v>1224</v>
      </c>
      <c r="C190" s="2304" t="s">
        <v>1262</v>
      </c>
      <c r="D190" s="2298">
        <f>$F$3</f>
        <v>2015</v>
      </c>
      <c r="E190" s="2300">
        <f>'נספח 1 לטופס 2'!D30</f>
        <v>836225</v>
      </c>
      <c r="F190" s="2301" t="s">
        <v>1213</v>
      </c>
      <c r="G190" s="2298" t="s">
        <v>1259</v>
      </c>
      <c r="H190" s="2298">
        <f>$F$3</f>
        <v>2015</v>
      </c>
      <c r="I190" s="2300">
        <f>'טופס 2'!E55</f>
        <v>836225</v>
      </c>
      <c r="J190" s="2312" t="str">
        <f t="shared" si="27"/>
        <v>תקין</v>
      </c>
      <c r="K190" s="2303" t="str">
        <f t="shared" si="28"/>
        <v/>
      </c>
      <c r="L190" s="2729" t="str">
        <f t="shared" si="29"/>
        <v/>
      </c>
      <c r="M190" s="2746"/>
      <c r="N190" s="2280"/>
      <c r="P190" s="2665" t="s">
        <v>139</v>
      </c>
    </row>
    <row r="191" spans="1:16" ht="30" customHeight="1">
      <c r="A191" s="2297">
        <v>108</v>
      </c>
      <c r="B191" s="2298" t="s">
        <v>1224</v>
      </c>
      <c r="C191" s="2304" t="s">
        <v>1263</v>
      </c>
      <c r="D191" s="2298">
        <f>$F$3</f>
        <v>2015</v>
      </c>
      <c r="E191" s="2300">
        <f>'נספח 1 לטופס 2'!F30</f>
        <v>853785</v>
      </c>
      <c r="F191" s="2301" t="s">
        <v>1213</v>
      </c>
      <c r="G191" s="2298" t="s">
        <v>1264</v>
      </c>
      <c r="H191" s="2298">
        <f>$F$3</f>
        <v>2015</v>
      </c>
      <c r="I191" s="2300">
        <f>'טופס 2'!G55</f>
        <v>853785</v>
      </c>
      <c r="J191" s="2312" t="str">
        <f t="shared" si="27"/>
        <v>תקין</v>
      </c>
      <c r="K191" s="2303" t="str">
        <f t="shared" si="28"/>
        <v/>
      </c>
      <c r="L191" s="2729" t="str">
        <f t="shared" si="29"/>
        <v/>
      </c>
      <c r="M191" s="2746"/>
      <c r="N191" s="2280"/>
      <c r="P191" s="2665" t="s">
        <v>140</v>
      </c>
    </row>
    <row r="192" spans="1:16" ht="30" customHeight="1">
      <c r="A192" s="2297">
        <v>109</v>
      </c>
      <c r="B192" s="2298" t="s">
        <v>1224</v>
      </c>
      <c r="C192" s="2304" t="s">
        <v>1263</v>
      </c>
      <c r="D192" s="2298">
        <f>$G$3</f>
        <v>2014</v>
      </c>
      <c r="E192" s="2300">
        <f>'נספח 1 לטופס 2'!N30</f>
        <v>795695</v>
      </c>
      <c r="F192" s="2301" t="s">
        <v>1213</v>
      </c>
      <c r="G192" s="2298" t="s">
        <v>1264</v>
      </c>
      <c r="H192" s="2298">
        <f>$G$3</f>
        <v>2014</v>
      </c>
      <c r="I192" s="2300">
        <f>'טופס 2'!I55</f>
        <v>795695</v>
      </c>
      <c r="J192" s="2312" t="str">
        <f t="shared" si="27"/>
        <v>תקין</v>
      </c>
      <c r="K192" s="2303" t="str">
        <f t="shared" si="28"/>
        <v/>
      </c>
      <c r="L192" s="2729" t="str">
        <f t="shared" si="29"/>
        <v/>
      </c>
      <c r="M192" s="2746"/>
      <c r="N192" s="2280"/>
      <c r="P192" s="2665" t="s">
        <v>140</v>
      </c>
    </row>
    <row r="193" spans="1:16" ht="30" customHeight="1">
      <c r="A193" s="2297">
        <v>110</v>
      </c>
      <c r="B193" s="2298" t="s">
        <v>1224</v>
      </c>
      <c r="C193" s="2662" t="s">
        <v>65</v>
      </c>
      <c r="D193" s="2298">
        <f>$F$3</f>
        <v>2015</v>
      </c>
      <c r="E193" s="2300">
        <f>'נספח 1 לטופס 2'!D20</f>
        <v>642311</v>
      </c>
      <c r="F193" s="2663" t="s">
        <v>1249</v>
      </c>
      <c r="G193" s="2662" t="s">
        <v>65</v>
      </c>
      <c r="H193" s="2298">
        <f>$F$3</f>
        <v>2015</v>
      </c>
      <c r="I193" s="2300">
        <f>'נתונים לנספח 1 לטופס 2'!C$16</f>
        <v>642311</v>
      </c>
      <c r="J193" s="2312" t="str">
        <f t="shared" si="27"/>
        <v>תקין</v>
      </c>
      <c r="K193" s="2303" t="str">
        <f t="shared" si="28"/>
        <v/>
      </c>
      <c r="L193" s="2729" t="str">
        <f t="shared" si="29"/>
        <v/>
      </c>
      <c r="M193" s="2746"/>
      <c r="N193" s="2280"/>
      <c r="P193" s="2665" t="s">
        <v>141</v>
      </c>
    </row>
    <row r="194" spans="1:16" ht="30" customHeight="1">
      <c r="A194" s="2297">
        <v>111</v>
      </c>
      <c r="B194" s="2298" t="s">
        <v>1224</v>
      </c>
      <c r="C194" s="2662" t="s">
        <v>64</v>
      </c>
      <c r="D194" s="2298">
        <f>$F$3</f>
        <v>2015</v>
      </c>
      <c r="E194" s="2300">
        <f>'נספח 1 לטופס 2'!F20</f>
        <v>662635</v>
      </c>
      <c r="F194" s="2663" t="s">
        <v>1249</v>
      </c>
      <c r="G194" s="2662" t="s">
        <v>64</v>
      </c>
      <c r="H194" s="2298">
        <f>$F$3</f>
        <v>2015</v>
      </c>
      <c r="I194" s="2300">
        <f>'נתונים לנספח 1 לטופס 2'!D$16</f>
        <v>662635</v>
      </c>
      <c r="J194" s="2312" t="str">
        <f t="shared" si="27"/>
        <v>תקין</v>
      </c>
      <c r="K194" s="2303" t="str">
        <f t="shared" si="28"/>
        <v/>
      </c>
      <c r="L194" s="2729" t="str">
        <f t="shared" si="29"/>
        <v/>
      </c>
      <c r="M194" s="2746"/>
      <c r="N194" s="2280"/>
      <c r="P194" s="2665" t="s">
        <v>141</v>
      </c>
    </row>
    <row r="195" spans="1:16" ht="30" customHeight="1">
      <c r="A195" s="2297">
        <v>112</v>
      </c>
      <c r="B195" s="2298" t="s">
        <v>1224</v>
      </c>
      <c r="C195" s="2662" t="s">
        <v>64</v>
      </c>
      <c r="D195" s="2298">
        <f>$G$3</f>
        <v>2014</v>
      </c>
      <c r="E195" s="2300">
        <f>'נספח 1 לטופס 2'!N20</f>
        <v>613719</v>
      </c>
      <c r="F195" s="2663" t="s">
        <v>1249</v>
      </c>
      <c r="G195" s="2662" t="s">
        <v>64</v>
      </c>
      <c r="H195" s="2298">
        <f>$G$3</f>
        <v>2014</v>
      </c>
      <c r="I195" s="2300">
        <f>'נתונים לנספח 1 לטופס 2'!E$16</f>
        <v>613719</v>
      </c>
      <c r="J195" s="2312" t="str">
        <f t="shared" si="27"/>
        <v>תקין</v>
      </c>
      <c r="K195" s="2303" t="str">
        <f t="shared" si="28"/>
        <v/>
      </c>
      <c r="L195" s="2729" t="str">
        <f t="shared" si="29"/>
        <v/>
      </c>
      <c r="M195" s="2746"/>
      <c r="N195" s="2280"/>
      <c r="P195" s="2665" t="s">
        <v>141</v>
      </c>
    </row>
    <row r="196" spans="1:16" ht="30" customHeight="1">
      <c r="A196" s="2297">
        <v>113</v>
      </c>
      <c r="B196" s="2298" t="s">
        <v>1268</v>
      </c>
      <c r="C196" s="2304" t="s">
        <v>1269</v>
      </c>
      <c r="D196" s="2298">
        <f>$F$3</f>
        <v>2015</v>
      </c>
      <c r="E196" s="2300">
        <f>'נספח 1 לטופס 2  המשך'!E18</f>
        <v>836225</v>
      </c>
      <c r="F196" s="2301" t="s">
        <v>1213</v>
      </c>
      <c r="G196" s="2298" t="s">
        <v>1270</v>
      </c>
      <c r="H196" s="2298">
        <f>$F$3</f>
        <v>2015</v>
      </c>
      <c r="I196" s="2300">
        <f>'טופס 2'!N55</f>
        <v>836225</v>
      </c>
      <c r="J196" s="2312" t="str">
        <f t="shared" si="27"/>
        <v>תקין</v>
      </c>
      <c r="K196" s="2303" t="str">
        <f t="shared" si="28"/>
        <v/>
      </c>
      <c r="L196" s="2729" t="str">
        <f t="shared" si="29"/>
        <v/>
      </c>
      <c r="M196" s="2746"/>
      <c r="N196" s="2280"/>
      <c r="P196" s="2665" t="s">
        <v>139</v>
      </c>
    </row>
    <row r="197" spans="1:16" ht="30" customHeight="1">
      <c r="A197" s="2297">
        <v>114</v>
      </c>
      <c r="B197" s="2298" t="s">
        <v>1268</v>
      </c>
      <c r="C197" s="2304" t="s">
        <v>1271</v>
      </c>
      <c r="D197" s="2298">
        <f>$F$3</f>
        <v>2015</v>
      </c>
      <c r="E197" s="2300">
        <f>'נספח 1 לטופס 2  המשך'!G18</f>
        <v>836268</v>
      </c>
      <c r="F197" s="2301" t="s">
        <v>1213</v>
      </c>
      <c r="G197" s="2298" t="s">
        <v>1272</v>
      </c>
      <c r="H197" s="2298">
        <f>$F$3</f>
        <v>2015</v>
      </c>
      <c r="I197" s="2300">
        <f>'טופס 2'!P55</f>
        <v>836268</v>
      </c>
      <c r="J197" s="2312" t="str">
        <f t="shared" si="27"/>
        <v>תקין</v>
      </c>
      <c r="K197" s="2303" t="str">
        <f t="shared" si="28"/>
        <v/>
      </c>
      <c r="L197" s="2729" t="str">
        <f t="shared" si="29"/>
        <v/>
      </c>
      <c r="M197" s="2746"/>
      <c r="N197" s="2280"/>
      <c r="P197" s="2665" t="s">
        <v>147</v>
      </c>
    </row>
    <row r="198" spans="1:16" ht="30" customHeight="1">
      <c r="A198" s="2297">
        <v>115</v>
      </c>
      <c r="B198" s="2298" t="s">
        <v>1268</v>
      </c>
      <c r="C198" s="2304" t="s">
        <v>1271</v>
      </c>
      <c r="D198" s="2298">
        <f>$G$3</f>
        <v>2014</v>
      </c>
      <c r="E198" s="2300">
        <f>'נספח 1 לטופס 2  המשך'!O18</f>
        <v>785053</v>
      </c>
      <c r="F198" s="2301" t="s">
        <v>1213</v>
      </c>
      <c r="G198" s="2298" t="s">
        <v>1272</v>
      </c>
      <c r="H198" s="2298">
        <f>$G$3</f>
        <v>2014</v>
      </c>
      <c r="I198" s="2300">
        <f>'טופס 2'!R55</f>
        <v>785053</v>
      </c>
      <c r="J198" s="2312" t="str">
        <f t="shared" si="27"/>
        <v>תקין</v>
      </c>
      <c r="K198" s="2303" t="str">
        <f t="shared" si="28"/>
        <v/>
      </c>
      <c r="L198" s="2729" t="str">
        <f t="shared" si="29"/>
        <v/>
      </c>
      <c r="M198" s="2746"/>
      <c r="N198" s="2280"/>
      <c r="P198" s="2665" t="s">
        <v>147</v>
      </c>
    </row>
    <row r="199" spans="1:16" ht="30" customHeight="1">
      <c r="A199" s="2297">
        <v>116</v>
      </c>
      <c r="B199" s="2298" t="s">
        <v>1268</v>
      </c>
      <c r="C199" s="2304" t="s">
        <v>1273</v>
      </c>
      <c r="D199" s="2298">
        <f>$F$3</f>
        <v>2015</v>
      </c>
      <c r="E199" s="2300">
        <f>'נספח 1 לטופס 2  המשך'!$G$8</f>
        <v>319784</v>
      </c>
      <c r="F199" s="2741" t="s">
        <v>1275</v>
      </c>
      <c r="G199" s="2298" t="s">
        <v>1274</v>
      </c>
      <c r="H199" s="2298">
        <f>$F$3</f>
        <v>2015</v>
      </c>
      <c r="I199" s="2300">
        <f>'נספח 4 לטופס 2 חלק א'!I36</f>
        <v>319902</v>
      </c>
      <c r="J199" s="2312" t="str">
        <f t="shared" si="27"/>
        <v/>
      </c>
      <c r="K199" s="2303"/>
      <c r="L199" s="2729"/>
      <c r="M199" s="2746"/>
      <c r="N199" s="2280"/>
    </row>
    <row r="200" spans="1:16" ht="30" customHeight="1">
      <c r="A200" s="2297"/>
      <c r="B200" s="2298"/>
      <c r="C200" s="2304"/>
      <c r="D200" s="2298"/>
      <c r="E200" s="2300"/>
      <c r="F200" s="2741"/>
      <c r="G200" s="2298" t="s">
        <v>1577</v>
      </c>
      <c r="H200" s="2298"/>
      <c r="I200" s="2300">
        <f>SUM('נספח 5 לטופס 2'!$H$33:$H$42)</f>
        <v>-118</v>
      </c>
      <c r="J200" s="2312"/>
      <c r="K200" s="2303"/>
      <c r="L200" s="2729"/>
      <c r="M200" s="2746"/>
      <c r="N200" s="2280"/>
    </row>
    <row r="201" spans="1:16" ht="30" customHeight="1">
      <c r="A201" s="2297"/>
      <c r="B201" s="2298"/>
      <c r="C201" s="2304"/>
      <c r="D201" s="2298"/>
      <c r="E201" s="2300"/>
      <c r="F201" s="2741"/>
      <c r="G201" s="2298" t="s">
        <v>782</v>
      </c>
      <c r="H201" s="2298"/>
      <c r="I201" s="2983">
        <f>SUM(I199:I200)</f>
        <v>319784</v>
      </c>
      <c r="J201" s="2312" t="str">
        <f>IF(E199=I201,$B$3,"")</f>
        <v>תקין</v>
      </c>
      <c r="K201" s="2303" t="str">
        <f>IF(E199&lt;&gt;I201,E199-I201,"")</f>
        <v/>
      </c>
      <c r="L201" s="2729" t="str">
        <f>IF(E199&lt;&gt;I201,P201,"")</f>
        <v/>
      </c>
      <c r="M201" s="2746"/>
      <c r="N201" s="2280"/>
      <c r="P201" s="2665" t="s">
        <v>336</v>
      </c>
    </row>
    <row r="202" spans="1:16" ht="30" customHeight="1">
      <c r="A202" s="2297">
        <v>117</v>
      </c>
      <c r="B202" s="2298" t="s">
        <v>1268</v>
      </c>
      <c r="C202" s="2304" t="s">
        <v>1273</v>
      </c>
      <c r="D202" s="2298">
        <f>$G$3</f>
        <v>2014</v>
      </c>
      <c r="E202" s="2300">
        <f>'נספח 1 לטופס 2  המשך'!$O$8</f>
        <v>301819</v>
      </c>
      <c r="F202" s="2741" t="s">
        <v>1275</v>
      </c>
      <c r="G202" s="2298" t="s">
        <v>1274</v>
      </c>
      <c r="H202" s="2298">
        <f>$G$3</f>
        <v>2014</v>
      </c>
      <c r="I202" s="2300">
        <f>'נספח 4 לטופס 2 חלק א'!O36</f>
        <v>303771</v>
      </c>
      <c r="J202" s="2312"/>
      <c r="K202" s="2303"/>
      <c r="L202" s="2729"/>
      <c r="M202" s="2746"/>
      <c r="N202" s="2280"/>
    </row>
    <row r="203" spans="1:16" ht="30" customHeight="1">
      <c r="A203" s="2297"/>
      <c r="B203" s="2298"/>
      <c r="C203" s="2304"/>
      <c r="D203" s="2298"/>
      <c r="E203" s="2300"/>
      <c r="F203" s="2741"/>
      <c r="G203" s="2298" t="s">
        <v>1577</v>
      </c>
      <c r="H203" s="2298">
        <f>$G$3</f>
        <v>2014</v>
      </c>
      <c r="I203" s="2300">
        <f>SUM('נספח 5 לטופס 2'!$J$33:$J$42)</f>
        <v>-1952</v>
      </c>
      <c r="J203" s="2312"/>
      <c r="K203" s="2303"/>
      <c r="L203" s="2729"/>
      <c r="M203" s="2746"/>
      <c r="N203" s="2280"/>
    </row>
    <row r="204" spans="1:16" ht="30" customHeight="1">
      <c r="A204" s="2297"/>
      <c r="B204" s="2298"/>
      <c r="C204" s="2304"/>
      <c r="D204" s="2298"/>
      <c r="E204" s="2300"/>
      <c r="F204" s="2741"/>
      <c r="G204" s="2298" t="s">
        <v>782</v>
      </c>
      <c r="H204" s="2298"/>
      <c r="I204" s="2983">
        <f>SUM(I202:I203)</f>
        <v>301819</v>
      </c>
      <c r="J204" s="2312" t="str">
        <f>IF(E202=I204,$B$3,"")</f>
        <v>תקין</v>
      </c>
      <c r="K204" s="2303" t="str">
        <f>IF(E202&lt;&gt;I204,E202-I204,"")</f>
        <v/>
      </c>
      <c r="L204" s="2729" t="str">
        <f>IF(E202&lt;&gt;I204,P204,"")</f>
        <v/>
      </c>
      <c r="M204" s="2746"/>
      <c r="N204" s="2280"/>
      <c r="P204" s="2665" t="s">
        <v>336</v>
      </c>
    </row>
    <row r="205" spans="1:16" ht="30" customHeight="1">
      <c r="A205" s="2297">
        <v>118</v>
      </c>
      <c r="B205" s="2298" t="s">
        <v>1268</v>
      </c>
      <c r="C205" s="2304" t="s">
        <v>1273</v>
      </c>
      <c r="D205" s="2298">
        <f>$F$3</f>
        <v>2015</v>
      </c>
      <c r="E205" s="2300">
        <f>'נספח 1 לטופס 2  המשך'!$G$8</f>
        <v>319784</v>
      </c>
      <c r="F205" s="2741" t="s">
        <v>783</v>
      </c>
      <c r="G205" s="2298" t="s">
        <v>1276</v>
      </c>
      <c r="H205" s="2298">
        <f>$F$3</f>
        <v>2015</v>
      </c>
      <c r="I205" s="2300">
        <f>'נספח 5 לטופס 2'!D25</f>
        <v>319902</v>
      </c>
      <c r="J205" s="2312" t="str">
        <f t="shared" si="27"/>
        <v/>
      </c>
      <c r="K205" s="2303"/>
      <c r="L205" s="2729"/>
      <c r="M205" s="2746"/>
      <c r="N205" s="2280"/>
    </row>
    <row r="206" spans="1:16" ht="30" customHeight="1">
      <c r="A206" s="2297"/>
      <c r="B206" s="2298"/>
      <c r="C206" s="2304"/>
      <c r="D206" s="2298"/>
      <c r="E206" s="2300"/>
      <c r="F206" s="2741" t="s">
        <v>783</v>
      </c>
      <c r="G206" s="2298" t="s">
        <v>1577</v>
      </c>
      <c r="H206" s="2298">
        <f>$F$3</f>
        <v>2015</v>
      </c>
      <c r="I206" s="2300">
        <f>SUM('נספח 5 לטופס 2'!$H$33:$H$42)</f>
        <v>-118</v>
      </c>
      <c r="J206" s="2312"/>
      <c r="K206" s="2303"/>
      <c r="L206" s="2729"/>
      <c r="M206" s="2746"/>
      <c r="N206" s="2280"/>
    </row>
    <row r="207" spans="1:16" ht="30" customHeight="1">
      <c r="A207" s="2297"/>
      <c r="B207" s="2298"/>
      <c r="C207" s="2304"/>
      <c r="D207" s="2298"/>
      <c r="E207" s="2300"/>
      <c r="F207" s="2741"/>
      <c r="G207" s="2298" t="s">
        <v>782</v>
      </c>
      <c r="H207" s="2298"/>
      <c r="I207" s="2983">
        <f>SUM(I205:I206)</f>
        <v>319784</v>
      </c>
      <c r="J207" s="2312" t="str">
        <f>IF(E205=I207,$B$3,"")</f>
        <v>תקין</v>
      </c>
      <c r="K207" s="2303" t="str">
        <f>IF(E205&lt;&gt;I207,E205-I207,"")</f>
        <v/>
      </c>
      <c r="L207" s="2729" t="str">
        <f>IF(E205&lt;&gt;I207,P207,"")</f>
        <v/>
      </c>
      <c r="M207" s="2746"/>
      <c r="N207" s="2280"/>
      <c r="P207" s="2665" t="s">
        <v>336</v>
      </c>
    </row>
    <row r="208" spans="1:16" ht="30" customHeight="1">
      <c r="A208" s="2297">
        <v>119</v>
      </c>
      <c r="B208" s="2298" t="s">
        <v>1268</v>
      </c>
      <c r="C208" s="2304" t="s">
        <v>1273</v>
      </c>
      <c r="D208" s="2298">
        <f>$G$3</f>
        <v>2014</v>
      </c>
      <c r="E208" s="2300">
        <f>'נספח 1 לטופס 2  המשך'!$O$8</f>
        <v>301819</v>
      </c>
      <c r="F208" s="2741" t="s">
        <v>783</v>
      </c>
      <c r="G208" s="2298" t="s">
        <v>1277</v>
      </c>
      <c r="H208" s="2298">
        <f>$G$3</f>
        <v>2014</v>
      </c>
      <c r="I208" s="2300">
        <f>'נספח 5 לטופס 2'!H25</f>
        <v>303771</v>
      </c>
      <c r="J208" s="2312"/>
      <c r="K208" s="2303"/>
      <c r="L208" s="2729"/>
      <c r="M208" s="2746"/>
      <c r="N208" s="2280"/>
      <c r="P208" s="2665" t="s">
        <v>336</v>
      </c>
    </row>
    <row r="209" spans="1:16" ht="30" customHeight="1">
      <c r="A209" s="2297"/>
      <c r="B209" s="2298"/>
      <c r="C209" s="2304"/>
      <c r="D209" s="2298"/>
      <c r="E209" s="2300"/>
      <c r="F209" s="2741"/>
      <c r="G209" s="2298" t="s">
        <v>1577</v>
      </c>
      <c r="H209" s="2298">
        <f>$G$3</f>
        <v>2014</v>
      </c>
      <c r="I209" s="2300">
        <f>SUM('נספח 5 לטופס 2'!$J$33:$J$42)</f>
        <v>-1952</v>
      </c>
      <c r="J209" s="2312"/>
      <c r="K209" s="2303"/>
      <c r="L209" s="2729"/>
      <c r="M209" s="2746"/>
      <c r="N209" s="2280"/>
    </row>
    <row r="210" spans="1:16" ht="30" customHeight="1">
      <c r="A210" s="2297"/>
      <c r="B210" s="2298"/>
      <c r="C210" s="2304"/>
      <c r="D210" s="2298"/>
      <c r="E210" s="2300"/>
      <c r="F210" s="2741"/>
      <c r="G210" s="2298" t="s">
        <v>782</v>
      </c>
      <c r="H210" s="2298"/>
      <c r="I210" s="2983">
        <f>SUM(I208:I209)</f>
        <v>301819</v>
      </c>
      <c r="J210" s="2312" t="str">
        <f>IF(E208=I210,$B$3,"")</f>
        <v>תקין</v>
      </c>
      <c r="K210" s="2303" t="str">
        <f>IF(E208&lt;&gt;I210,E208-I210,"")</f>
        <v/>
      </c>
      <c r="L210" s="2729" t="str">
        <f>IF(E208&lt;&gt;I210,P210,"")</f>
        <v/>
      </c>
      <c r="M210" s="2746"/>
      <c r="N210" s="2280"/>
      <c r="P210" s="2665" t="s">
        <v>336</v>
      </c>
    </row>
    <row r="211" spans="1:16" ht="30.6">
      <c r="A211" s="2297">
        <v>120</v>
      </c>
      <c r="B211" s="2298" t="s">
        <v>1268</v>
      </c>
      <c r="C211" s="2662" t="s">
        <v>694</v>
      </c>
      <c r="D211" s="2298">
        <f>$F$3</f>
        <v>2015</v>
      </c>
      <c r="E211" s="2300">
        <f>'נספח 1 לטופס 2  המשך'!$E$12</f>
        <v>174285</v>
      </c>
      <c r="F211" s="2663" t="s">
        <v>299</v>
      </c>
      <c r="G211" s="2740" t="s">
        <v>1143</v>
      </c>
      <c r="H211" s="2298">
        <f>$F$3</f>
        <v>2015</v>
      </c>
      <c r="I211" s="3150">
        <f>+'דוח תמיכות'!C122</f>
        <v>174285</v>
      </c>
      <c r="J211" s="2312" t="str">
        <f t="shared" si="27"/>
        <v>תקין</v>
      </c>
      <c r="K211" s="2303" t="str">
        <f t="shared" si="28"/>
        <v/>
      </c>
      <c r="L211" s="2729" t="str">
        <f t="shared" si="29"/>
        <v/>
      </c>
      <c r="M211" s="2746"/>
      <c r="N211" s="2280"/>
      <c r="P211" s="2665" t="s">
        <v>300</v>
      </c>
    </row>
    <row r="212" spans="1:16" ht="45.75" customHeight="1">
      <c r="A212" s="2297">
        <v>121</v>
      </c>
      <c r="B212" s="2298" t="s">
        <v>1268</v>
      </c>
      <c r="C212" s="2662" t="s">
        <v>695</v>
      </c>
      <c r="D212" s="2298">
        <f>$F$3</f>
        <v>2015</v>
      </c>
      <c r="E212" s="2300">
        <f>'נספח 1 לטופס 2  המשך'!$G$12</f>
        <v>167296</v>
      </c>
      <c r="F212" s="2663" t="s">
        <v>299</v>
      </c>
      <c r="G212" s="2740" t="s">
        <v>1144</v>
      </c>
      <c r="H212" s="2298">
        <f>$F$3</f>
        <v>2015</v>
      </c>
      <c r="I212" s="3150">
        <f>+'דוח תמיכות'!D122</f>
        <v>167296</v>
      </c>
      <c r="J212" s="2312" t="str">
        <f t="shared" si="27"/>
        <v>תקין</v>
      </c>
      <c r="K212" s="2303" t="str">
        <f t="shared" si="28"/>
        <v/>
      </c>
      <c r="L212" s="2729" t="str">
        <f t="shared" si="29"/>
        <v/>
      </c>
      <c r="M212" s="2746"/>
      <c r="N212" s="2280"/>
      <c r="P212" s="2665" t="s">
        <v>300</v>
      </c>
    </row>
    <row r="213" spans="1:16" s="2314" customFormat="1" ht="30" customHeight="1">
      <c r="A213" s="2297">
        <v>122</v>
      </c>
      <c r="B213" s="2298" t="s">
        <v>1278</v>
      </c>
      <c r="C213" s="2304" t="s">
        <v>1279</v>
      </c>
      <c r="D213" s="2298">
        <f>$F$3</f>
        <v>2015</v>
      </c>
      <c r="E213" s="2300">
        <f>'נתונים לנספח 1 לטופס 2'!C53</f>
        <v>49500</v>
      </c>
      <c r="F213" s="2305" t="s">
        <v>1216</v>
      </c>
      <c r="G213" s="2298" t="s">
        <v>735</v>
      </c>
      <c r="H213" s="2298">
        <f>$F$3</f>
        <v>2015</v>
      </c>
      <c r="I213" s="2300">
        <f>'ביאור 4'!C23</f>
        <v>49500</v>
      </c>
      <c r="J213" s="2312" t="str">
        <f t="shared" si="27"/>
        <v>תקין</v>
      </c>
      <c r="K213" s="2303" t="str">
        <f t="shared" si="28"/>
        <v/>
      </c>
      <c r="L213" s="2729" t="str">
        <f t="shared" si="29"/>
        <v/>
      </c>
      <c r="M213" s="2746"/>
      <c r="N213" s="2313"/>
      <c r="P213" s="2665" t="s">
        <v>337</v>
      </c>
    </row>
    <row r="214" spans="1:16" s="2314" customFormat="1" ht="30" customHeight="1">
      <c r="A214" s="2297">
        <v>123</v>
      </c>
      <c r="B214" s="2298" t="s">
        <v>1278</v>
      </c>
      <c r="C214" s="2304" t="s">
        <v>1280</v>
      </c>
      <c r="D214" s="2298">
        <f>$F$3</f>
        <v>2015</v>
      </c>
      <c r="E214" s="2300">
        <f>'נתונים לנספח 1 לטופס 2'!D53</f>
        <v>45760</v>
      </c>
      <c r="F214" s="2305" t="s">
        <v>1216</v>
      </c>
      <c r="G214" s="2298" t="s">
        <v>735</v>
      </c>
      <c r="H214" s="2298">
        <f>$F$3</f>
        <v>2015</v>
      </c>
      <c r="I214" s="2300">
        <f>'ביאור 4'!E23</f>
        <v>45760</v>
      </c>
      <c r="J214" s="2312" t="str">
        <f t="shared" si="27"/>
        <v>תקין</v>
      </c>
      <c r="K214" s="2303" t="str">
        <f t="shared" si="28"/>
        <v/>
      </c>
      <c r="L214" s="2729" t="str">
        <f t="shared" si="29"/>
        <v/>
      </c>
      <c r="M214" s="2746"/>
      <c r="N214" s="2313"/>
      <c r="P214" s="2665" t="s">
        <v>337</v>
      </c>
    </row>
    <row r="215" spans="1:16" s="2314" customFormat="1" ht="30" customHeight="1">
      <c r="A215" s="2297">
        <v>124</v>
      </c>
      <c r="B215" s="2298" t="s">
        <v>1278</v>
      </c>
      <c r="C215" s="2304" t="s">
        <v>1280</v>
      </c>
      <c r="D215" s="2298">
        <f>$G$3</f>
        <v>2014</v>
      </c>
      <c r="E215" s="2300">
        <f>'נתונים לנספח 1 לטופס 2'!E53</f>
        <v>44835</v>
      </c>
      <c r="F215" s="2305" t="s">
        <v>1216</v>
      </c>
      <c r="G215" s="2298" t="s">
        <v>735</v>
      </c>
      <c r="H215" s="2298">
        <f>$G$3</f>
        <v>2014</v>
      </c>
      <c r="I215" s="2300">
        <f>'ביאור 4'!G23</f>
        <v>44835</v>
      </c>
      <c r="J215" s="2312" t="str">
        <f t="shared" si="27"/>
        <v>תקין</v>
      </c>
      <c r="K215" s="2303" t="str">
        <f t="shared" si="28"/>
        <v/>
      </c>
      <c r="L215" s="2729" t="str">
        <f t="shared" si="29"/>
        <v/>
      </c>
      <c r="M215" s="2746"/>
      <c r="N215" s="2313"/>
      <c r="P215" s="2665" t="s">
        <v>337</v>
      </c>
    </row>
    <row r="216" spans="1:16" s="2314" customFormat="1" ht="30" customHeight="1">
      <c r="A216" s="2297">
        <v>125</v>
      </c>
      <c r="B216" s="2740" t="s">
        <v>148</v>
      </c>
      <c r="C216" s="2662" t="s">
        <v>149</v>
      </c>
      <c r="D216" s="2298">
        <f>$F$3</f>
        <v>2015</v>
      </c>
      <c r="E216" s="2300">
        <f>'נספח 3 לטופס 2'!$E$23</f>
        <v>836225</v>
      </c>
      <c r="F216" s="2663" t="s">
        <v>151</v>
      </c>
      <c r="G216" s="2662" t="s">
        <v>149</v>
      </c>
      <c r="H216" s="2298">
        <f>$F$3</f>
        <v>2015</v>
      </c>
      <c r="I216" s="2300">
        <f>'ספר לבן'!C35</f>
        <v>836225</v>
      </c>
      <c r="J216" s="2312" t="str">
        <f t="shared" si="27"/>
        <v>תקין</v>
      </c>
      <c r="K216" s="2303" t="str">
        <f t="shared" si="28"/>
        <v/>
      </c>
      <c r="L216" s="2729" t="str">
        <f t="shared" si="29"/>
        <v/>
      </c>
      <c r="M216" s="2746"/>
      <c r="N216" s="2313"/>
      <c r="P216" s="2665" t="s">
        <v>152</v>
      </c>
    </row>
    <row r="217" spans="1:16" s="2314" customFormat="1" ht="30" customHeight="1">
      <c r="A217" s="2297">
        <v>126</v>
      </c>
      <c r="B217" s="2740" t="s">
        <v>148</v>
      </c>
      <c r="C217" s="2662" t="s">
        <v>150</v>
      </c>
      <c r="D217" s="2298">
        <f>$F$3</f>
        <v>2015</v>
      </c>
      <c r="E217" s="2300">
        <f>'נספח 3 לטופס 2'!$G$23</f>
        <v>853785</v>
      </c>
      <c r="F217" s="2663" t="s">
        <v>151</v>
      </c>
      <c r="G217" s="2662" t="s">
        <v>150</v>
      </c>
      <c r="H217" s="2298">
        <f>$F$3</f>
        <v>2015</v>
      </c>
      <c r="I217" s="2300">
        <f>'ספר לבן'!D35</f>
        <v>853785</v>
      </c>
      <c r="J217" s="2312" t="str">
        <f t="shared" si="27"/>
        <v>תקין</v>
      </c>
      <c r="K217" s="2303" t="str">
        <f t="shared" si="28"/>
        <v/>
      </c>
      <c r="L217" s="2729" t="str">
        <f t="shared" si="29"/>
        <v/>
      </c>
      <c r="M217" s="2746"/>
      <c r="N217" s="2313"/>
      <c r="P217" s="2665" t="s">
        <v>217</v>
      </c>
    </row>
    <row r="218" spans="1:16" s="2314" customFormat="1" ht="30" customHeight="1">
      <c r="A218" s="2297">
        <v>127</v>
      </c>
      <c r="B218" s="2740" t="s">
        <v>148</v>
      </c>
      <c r="C218" s="2662" t="s">
        <v>150</v>
      </c>
      <c r="D218" s="2298">
        <f>$G$3</f>
        <v>2014</v>
      </c>
      <c r="E218" s="2300">
        <f>'נספח 3 לטופס 2'!$M$23</f>
        <v>795695</v>
      </c>
      <c r="F218" s="2663" t="s">
        <v>151</v>
      </c>
      <c r="G218" s="2662" t="s">
        <v>150</v>
      </c>
      <c r="H218" s="2298">
        <f>$G$3</f>
        <v>2014</v>
      </c>
      <c r="I218" s="2300">
        <f>'ספר לבן'!F35</f>
        <v>795695</v>
      </c>
      <c r="J218" s="2312" t="str">
        <f t="shared" si="27"/>
        <v>תקין</v>
      </c>
      <c r="K218" s="2303" t="str">
        <f t="shared" si="28"/>
        <v/>
      </c>
      <c r="L218" s="2729" t="str">
        <f t="shared" si="29"/>
        <v/>
      </c>
      <c r="M218" s="2746"/>
      <c r="N218" s="2313"/>
      <c r="P218" s="2665" t="s">
        <v>218</v>
      </c>
    </row>
    <row r="219" spans="1:16" s="2314" customFormat="1" ht="30" customHeight="1">
      <c r="A219" s="2297">
        <v>128</v>
      </c>
      <c r="B219" s="2740" t="s">
        <v>148</v>
      </c>
      <c r="C219" s="2662" t="s">
        <v>219</v>
      </c>
      <c r="D219" s="2298">
        <f>$F$3</f>
        <v>2015</v>
      </c>
      <c r="E219" s="2300">
        <f>'נספח 3 לטופס 2'!$E$42</f>
        <v>836225</v>
      </c>
      <c r="F219" s="2663" t="s">
        <v>151</v>
      </c>
      <c r="G219" s="2662" t="s">
        <v>219</v>
      </c>
      <c r="H219" s="2298">
        <f>$F$3</f>
        <v>2015</v>
      </c>
      <c r="I219" s="2300">
        <f>'ספר לבן'!C50</f>
        <v>836225</v>
      </c>
      <c r="J219" s="2312" t="str">
        <f t="shared" si="27"/>
        <v>תקין</v>
      </c>
      <c r="K219" s="2303" t="str">
        <f t="shared" si="28"/>
        <v/>
      </c>
      <c r="L219" s="2729" t="str">
        <f t="shared" si="29"/>
        <v/>
      </c>
      <c r="M219" s="2746"/>
      <c r="N219" s="2313"/>
      <c r="P219" s="2665" t="s">
        <v>221</v>
      </c>
    </row>
    <row r="220" spans="1:16" s="2314" customFormat="1" ht="30" customHeight="1">
      <c r="A220" s="2297">
        <v>129</v>
      </c>
      <c r="B220" s="2740" t="s">
        <v>148</v>
      </c>
      <c r="C220" s="2662" t="s">
        <v>220</v>
      </c>
      <c r="D220" s="2298">
        <f>$F$3</f>
        <v>2015</v>
      </c>
      <c r="E220" s="2300">
        <f>'נספח 3 לטופס 2'!$G$42</f>
        <v>836268</v>
      </c>
      <c r="F220" s="2663" t="s">
        <v>151</v>
      </c>
      <c r="G220" s="2662" t="s">
        <v>220</v>
      </c>
      <c r="H220" s="2298">
        <f>$F$3</f>
        <v>2015</v>
      </c>
      <c r="I220" s="2300">
        <f>'ספר לבן'!D50</f>
        <v>836268</v>
      </c>
      <c r="J220" s="2312" t="str">
        <f t="shared" si="27"/>
        <v>תקין</v>
      </c>
      <c r="K220" s="2303" t="str">
        <f t="shared" si="28"/>
        <v/>
      </c>
      <c r="L220" s="2729" t="str">
        <f t="shared" si="29"/>
        <v/>
      </c>
      <c r="M220" s="2746"/>
      <c r="N220" s="2313"/>
      <c r="P220" s="2665" t="s">
        <v>222</v>
      </c>
    </row>
    <row r="221" spans="1:16" s="2314" customFormat="1" ht="30" customHeight="1">
      <c r="A221" s="2297">
        <v>130</v>
      </c>
      <c r="B221" s="2740" t="s">
        <v>148</v>
      </c>
      <c r="C221" s="2662" t="s">
        <v>220</v>
      </c>
      <c r="D221" s="2298">
        <f>$G$3</f>
        <v>2014</v>
      </c>
      <c r="E221" s="2300">
        <f>'נספח 3 לטופס 2'!$M$42</f>
        <v>785053</v>
      </c>
      <c r="F221" s="2663" t="s">
        <v>151</v>
      </c>
      <c r="G221" s="2662" t="s">
        <v>220</v>
      </c>
      <c r="H221" s="2298">
        <f>$G$3</f>
        <v>2014</v>
      </c>
      <c r="I221" s="2300">
        <f>'ספר לבן'!F50</f>
        <v>785053</v>
      </c>
      <c r="J221" s="2312" t="str">
        <f t="shared" si="27"/>
        <v>תקין</v>
      </c>
      <c r="K221" s="2303" t="str">
        <f t="shared" si="28"/>
        <v/>
      </c>
      <c r="L221" s="2729" t="str">
        <f t="shared" si="29"/>
        <v/>
      </c>
      <c r="M221" s="2746"/>
      <c r="N221" s="2313"/>
      <c r="P221" s="2665" t="s">
        <v>223</v>
      </c>
    </row>
    <row r="222" spans="1:16" s="2314" customFormat="1" ht="30" customHeight="1">
      <c r="A222" s="2297">
        <v>131</v>
      </c>
      <c r="B222" s="2740" t="s">
        <v>148</v>
      </c>
      <c r="C222" s="2662" t="s">
        <v>149</v>
      </c>
      <c r="D222" s="2298">
        <f>$F$3</f>
        <v>2015</v>
      </c>
      <c r="E222" s="2300">
        <f>'נספח 3 לטופס 2'!$E$23</f>
        <v>836225</v>
      </c>
      <c r="F222" s="2663" t="s">
        <v>1468</v>
      </c>
      <c r="G222" s="2662" t="s">
        <v>149</v>
      </c>
      <c r="H222" s="2298">
        <f>$F$3</f>
        <v>2015</v>
      </c>
      <c r="I222" s="2300">
        <f>'דוח לתושב'!C16</f>
        <v>836225</v>
      </c>
      <c r="J222" s="2312" t="str">
        <f t="shared" ref="J222:J227" si="32">IF(E222=I222,$B$3,"")</f>
        <v>תקין</v>
      </c>
      <c r="K222" s="2303" t="str">
        <f t="shared" ref="K222:K227" si="33">IF(E222&lt;&gt;I222,E222-I222,"")</f>
        <v/>
      </c>
      <c r="L222" s="2729" t="str">
        <f t="shared" ref="L222:L227" si="34">IF(E222&lt;&gt;I222,P222,"")</f>
        <v/>
      </c>
      <c r="M222" s="2746"/>
      <c r="N222" s="2313"/>
      <c r="P222" s="2665" t="s">
        <v>224</v>
      </c>
    </row>
    <row r="223" spans="1:16" s="2314" customFormat="1" ht="30" customHeight="1">
      <c r="A223" s="2297">
        <v>132</v>
      </c>
      <c r="B223" s="2740" t="s">
        <v>148</v>
      </c>
      <c r="C223" s="2662" t="s">
        <v>150</v>
      </c>
      <c r="D223" s="2298">
        <f>$F$3</f>
        <v>2015</v>
      </c>
      <c r="E223" s="2300">
        <f>'נספח 3 לטופס 2'!$G$23</f>
        <v>853785</v>
      </c>
      <c r="F223" s="2663" t="s">
        <v>1468</v>
      </c>
      <c r="G223" s="2662" t="s">
        <v>150</v>
      </c>
      <c r="H223" s="2298">
        <f>$F$3</f>
        <v>2015</v>
      </c>
      <c r="I223" s="2300">
        <f>'דוח לתושב'!D16</f>
        <v>853785</v>
      </c>
      <c r="J223" s="2312" t="str">
        <f t="shared" si="32"/>
        <v>תקין</v>
      </c>
      <c r="K223" s="2303" t="str">
        <f t="shared" si="33"/>
        <v/>
      </c>
      <c r="L223" s="2729" t="str">
        <f t="shared" si="34"/>
        <v/>
      </c>
      <c r="M223" s="2746"/>
      <c r="N223" s="2313"/>
      <c r="P223" s="2665" t="s">
        <v>225</v>
      </c>
    </row>
    <row r="224" spans="1:16" s="2314" customFormat="1" ht="30" customHeight="1">
      <c r="A224" s="2297">
        <v>133</v>
      </c>
      <c r="B224" s="2740" t="s">
        <v>148</v>
      </c>
      <c r="C224" s="2662" t="s">
        <v>150</v>
      </c>
      <c r="D224" s="2298">
        <f>$G$3</f>
        <v>2014</v>
      </c>
      <c r="E224" s="2300">
        <f>'נספח 3 לטופס 2'!$M$23</f>
        <v>795695</v>
      </c>
      <c r="F224" s="2663" t="s">
        <v>1468</v>
      </c>
      <c r="G224" s="2662" t="s">
        <v>150</v>
      </c>
      <c r="H224" s="2298">
        <f>$G$3</f>
        <v>2014</v>
      </c>
      <c r="I224" s="2300">
        <f>'דוח לתושב'!F16</f>
        <v>795695</v>
      </c>
      <c r="J224" s="2312" t="str">
        <f t="shared" si="32"/>
        <v>תקין</v>
      </c>
      <c r="K224" s="2303" t="str">
        <f t="shared" si="33"/>
        <v/>
      </c>
      <c r="L224" s="2729" t="str">
        <f t="shared" si="34"/>
        <v/>
      </c>
      <c r="M224" s="2746"/>
      <c r="N224" s="2313"/>
      <c r="P224" s="2665" t="s">
        <v>226</v>
      </c>
    </row>
    <row r="225" spans="1:16" s="2314" customFormat="1" ht="30" customHeight="1">
      <c r="A225" s="2297">
        <v>134</v>
      </c>
      <c r="B225" s="2740" t="s">
        <v>148</v>
      </c>
      <c r="C225" s="2662" t="s">
        <v>219</v>
      </c>
      <c r="D225" s="2298">
        <f>$F$3</f>
        <v>2015</v>
      </c>
      <c r="E225" s="2300">
        <f>'נספח 3 לטופס 2'!$E$42</f>
        <v>836225</v>
      </c>
      <c r="F225" s="2663" t="s">
        <v>1468</v>
      </c>
      <c r="G225" s="2662" t="s">
        <v>219</v>
      </c>
      <c r="H225" s="2298">
        <f>$F$3</f>
        <v>2015</v>
      </c>
      <c r="I225" s="2300">
        <f>'דוח לתושב'!C27</f>
        <v>836225</v>
      </c>
      <c r="J225" s="2312" t="str">
        <f t="shared" si="32"/>
        <v>תקין</v>
      </c>
      <c r="K225" s="2303" t="str">
        <f t="shared" si="33"/>
        <v/>
      </c>
      <c r="L225" s="2729" t="str">
        <f t="shared" si="34"/>
        <v/>
      </c>
      <c r="M225" s="2746"/>
      <c r="N225" s="2313"/>
      <c r="P225" s="2665" t="s">
        <v>227</v>
      </c>
    </row>
    <row r="226" spans="1:16" s="2314" customFormat="1" ht="30" customHeight="1">
      <c r="A226" s="2297">
        <v>135</v>
      </c>
      <c r="B226" s="2740" t="s">
        <v>148</v>
      </c>
      <c r="C226" s="2662" t="s">
        <v>220</v>
      </c>
      <c r="D226" s="2298">
        <f>$F$3</f>
        <v>2015</v>
      </c>
      <c r="E226" s="2300">
        <f>'נספח 3 לטופס 2'!$G$42</f>
        <v>836268</v>
      </c>
      <c r="F226" s="2663" t="s">
        <v>1468</v>
      </c>
      <c r="G226" s="2662" t="s">
        <v>220</v>
      </c>
      <c r="H226" s="2298">
        <f>$F$3</f>
        <v>2015</v>
      </c>
      <c r="I226" s="2300">
        <f>'דוח לתושב'!D27</f>
        <v>836268</v>
      </c>
      <c r="J226" s="2312" t="str">
        <f t="shared" si="32"/>
        <v>תקין</v>
      </c>
      <c r="K226" s="2303" t="str">
        <f t="shared" si="33"/>
        <v/>
      </c>
      <c r="L226" s="2729" t="str">
        <f t="shared" si="34"/>
        <v/>
      </c>
      <c r="M226" s="2746"/>
      <c r="N226" s="2313"/>
      <c r="P226" s="2665" t="s">
        <v>228</v>
      </c>
    </row>
    <row r="227" spans="1:16" s="2314" customFormat="1" ht="30" customHeight="1">
      <c r="A227" s="2297">
        <v>136</v>
      </c>
      <c r="B227" s="2740" t="s">
        <v>148</v>
      </c>
      <c r="C227" s="2662" t="s">
        <v>220</v>
      </c>
      <c r="D227" s="2298">
        <f>$G$3</f>
        <v>2014</v>
      </c>
      <c r="E227" s="2300">
        <f>'נספח 3 לטופס 2'!$M$42</f>
        <v>785053</v>
      </c>
      <c r="F227" s="2663" t="s">
        <v>1468</v>
      </c>
      <c r="G227" s="2662" t="s">
        <v>220</v>
      </c>
      <c r="H227" s="2298">
        <f>$G$3</f>
        <v>2014</v>
      </c>
      <c r="I227" s="2300">
        <f>'דוח לתושב'!F27</f>
        <v>785053</v>
      </c>
      <c r="J227" s="2312" t="str">
        <f t="shared" si="32"/>
        <v>תקין</v>
      </c>
      <c r="K227" s="2303" t="str">
        <f t="shared" si="33"/>
        <v/>
      </c>
      <c r="L227" s="2729" t="str">
        <f t="shared" si="34"/>
        <v/>
      </c>
      <c r="M227" s="2746"/>
      <c r="N227" s="2313"/>
      <c r="P227" s="2665" t="s">
        <v>229</v>
      </c>
    </row>
    <row r="228" spans="1:16" s="2314" customFormat="1" ht="30" customHeight="1">
      <c r="A228" s="2297">
        <v>137</v>
      </c>
      <c r="B228" s="2740" t="s">
        <v>148</v>
      </c>
      <c r="C228" s="2662" t="s">
        <v>281</v>
      </c>
      <c r="D228" s="2298">
        <f>$F$3</f>
        <v>2015</v>
      </c>
      <c r="E228" s="2300">
        <f>'נספח 3 לטופס 2'!$E$26</f>
        <v>159426</v>
      </c>
      <c r="F228" s="2970"/>
      <c r="G228" s="2662"/>
      <c r="H228" s="2298"/>
      <c r="I228" s="2300"/>
      <c r="J228" s="2651"/>
      <c r="K228" s="2303"/>
      <c r="L228" s="2729"/>
      <c r="M228" s="2746"/>
      <c r="N228" s="2313"/>
      <c r="P228" s="2665"/>
    </row>
    <row r="229" spans="1:16" s="2314" customFormat="1" ht="30" customHeight="1">
      <c r="A229" s="2297"/>
      <c r="B229" s="2740" t="s">
        <v>148</v>
      </c>
      <c r="C229" s="2662" t="s">
        <v>286</v>
      </c>
      <c r="D229" s="2298">
        <f>$F$3</f>
        <v>2015</v>
      </c>
      <c r="E229" s="2300">
        <f>'נספח 3 לטופס 2'!$E$31</f>
        <v>154130</v>
      </c>
      <c r="F229" s="2970"/>
      <c r="G229" s="2662"/>
      <c r="H229" s="2298"/>
      <c r="I229" s="2300"/>
      <c r="J229" s="2651"/>
      <c r="K229" s="2303"/>
      <c r="L229" s="2729"/>
      <c r="M229" s="2746"/>
      <c r="N229" s="2313"/>
      <c r="P229" s="2665"/>
    </row>
    <row r="230" spans="1:16" s="2314" customFormat="1" ht="30" customHeight="1">
      <c r="A230" s="2297"/>
      <c r="B230" s="2740" t="s">
        <v>148</v>
      </c>
      <c r="C230" s="2662" t="s">
        <v>287</v>
      </c>
      <c r="D230" s="2298">
        <f>$F$3</f>
        <v>2015</v>
      </c>
      <c r="E230" s="2300">
        <f>'נספח 3 לטופס 2'!$E$33</f>
        <v>19149</v>
      </c>
      <c r="F230" s="2970"/>
      <c r="G230" s="2662"/>
      <c r="H230" s="2298"/>
      <c r="I230" s="2300"/>
      <c r="J230" s="2651"/>
      <c r="K230" s="2303"/>
      <c r="L230" s="2729"/>
      <c r="M230" s="2746"/>
      <c r="N230" s="2313"/>
      <c r="P230" s="2665"/>
    </row>
    <row r="231" spans="1:16" s="2314" customFormat="1" ht="32.25" customHeight="1">
      <c r="A231" s="2297"/>
      <c r="B231" s="2740"/>
      <c r="C231" s="2662" t="s">
        <v>782</v>
      </c>
      <c r="D231" s="2298"/>
      <c r="E231" s="2653">
        <f>SUM(E228:E230)</f>
        <v>332705</v>
      </c>
      <c r="F231" s="2970" t="s">
        <v>284</v>
      </c>
      <c r="G231" s="2662" t="s">
        <v>285</v>
      </c>
      <c r="H231" s="2298">
        <f>$F$3</f>
        <v>2015</v>
      </c>
      <c r="I231" s="2300">
        <f>'נספח 1 לטופס 2  המשך'!$E$8</f>
        <v>332705</v>
      </c>
      <c r="J231" s="2312" t="str">
        <f>IF(E231=I231,$B$3,"")</f>
        <v>תקין</v>
      </c>
      <c r="K231" s="2303" t="str">
        <f>IF(E231&lt;&gt;I231,E231-I231,"")</f>
        <v/>
      </c>
      <c r="L231" s="2729" t="str">
        <f>IF(E231&lt;&gt;I231,P231,"")</f>
        <v/>
      </c>
      <c r="M231" s="2746"/>
      <c r="N231" s="2313"/>
      <c r="P231" s="2665" t="s">
        <v>290</v>
      </c>
    </row>
    <row r="232" spans="1:16" s="2314" customFormat="1" ht="30" customHeight="1">
      <c r="A232" s="2297">
        <v>138</v>
      </c>
      <c r="B232" s="2740" t="s">
        <v>148</v>
      </c>
      <c r="C232" s="2662" t="s">
        <v>288</v>
      </c>
      <c r="D232" s="2298">
        <f>$F$3</f>
        <v>2015</v>
      </c>
      <c r="E232" s="2300">
        <f>'נספח 3 לטופס 2'!$G$26</f>
        <v>154298</v>
      </c>
      <c r="F232" s="2970"/>
      <c r="G232" s="2662"/>
      <c r="H232" s="2298"/>
      <c r="I232" s="2300"/>
      <c r="J232" s="2651"/>
      <c r="K232" s="2303"/>
      <c r="L232" s="2729"/>
      <c r="M232" s="2746"/>
      <c r="N232" s="2313"/>
      <c r="P232" s="2665"/>
    </row>
    <row r="233" spans="1:16" s="2314" customFormat="1" ht="30" customHeight="1">
      <c r="A233" s="2297"/>
      <c r="B233" s="2740" t="s">
        <v>148</v>
      </c>
      <c r="C233" s="2662" t="s">
        <v>282</v>
      </c>
      <c r="D233" s="2298">
        <f>$F$3</f>
        <v>2015</v>
      </c>
      <c r="E233" s="2300">
        <f>'נספח 3 לטופס 2'!$G$31</f>
        <v>147277</v>
      </c>
      <c r="F233" s="2970"/>
      <c r="G233" s="2662"/>
      <c r="H233" s="2298"/>
      <c r="I233" s="2300"/>
      <c r="J233" s="2651"/>
      <c r="K233" s="2303"/>
      <c r="L233" s="2729"/>
      <c r="M233" s="2746"/>
      <c r="N233" s="2313"/>
      <c r="P233" s="2665"/>
    </row>
    <row r="234" spans="1:16" s="2314" customFormat="1" ht="30" customHeight="1">
      <c r="A234" s="2297"/>
      <c r="B234" s="2740" t="s">
        <v>148</v>
      </c>
      <c r="C234" s="2662" t="s">
        <v>283</v>
      </c>
      <c r="D234" s="2298">
        <f>$F$3</f>
        <v>2015</v>
      </c>
      <c r="E234" s="2300">
        <f>'נספח 3 לטופס 2'!$G$33</f>
        <v>18209</v>
      </c>
      <c r="F234" s="2970"/>
      <c r="G234" s="2662"/>
      <c r="H234" s="2298"/>
      <c r="I234" s="2300"/>
      <c r="J234" s="2651"/>
      <c r="K234" s="2303"/>
      <c r="L234" s="2729"/>
      <c r="M234" s="2746"/>
      <c r="N234" s="2313"/>
      <c r="P234" s="2665"/>
    </row>
    <row r="235" spans="1:16" s="2314" customFormat="1" ht="30" customHeight="1">
      <c r="A235" s="2297"/>
      <c r="B235" s="2740"/>
      <c r="C235" s="2662" t="s">
        <v>782</v>
      </c>
      <c r="D235" s="2298"/>
      <c r="E235" s="2653">
        <f>SUM(E232:E234)</f>
        <v>319784</v>
      </c>
      <c r="F235" s="2970" t="s">
        <v>284</v>
      </c>
      <c r="G235" s="2662" t="s">
        <v>289</v>
      </c>
      <c r="H235" s="2298">
        <f>$F$3</f>
        <v>2015</v>
      </c>
      <c r="I235" s="2300">
        <f>'נספח 1 לטופס 2  המשך'!G8</f>
        <v>319784</v>
      </c>
      <c r="J235" s="2312" t="str">
        <f>IF(E235=I235,$B$3,"")</f>
        <v>תקין</v>
      </c>
      <c r="K235" s="2303" t="str">
        <f>IF(E235&lt;&gt;I235,E235-I235,"")</f>
        <v/>
      </c>
      <c r="L235" s="2729" t="str">
        <f>IF(E235&lt;&gt;I235,P235,"")</f>
        <v/>
      </c>
      <c r="M235" s="2746"/>
      <c r="N235" s="2313"/>
      <c r="P235" s="2665" t="s">
        <v>290</v>
      </c>
    </row>
    <row r="236" spans="1:16" s="2314" customFormat="1" ht="30" customHeight="1">
      <c r="A236" s="2297">
        <v>139</v>
      </c>
      <c r="B236" s="2740" t="s">
        <v>148</v>
      </c>
      <c r="C236" s="2662" t="s">
        <v>288</v>
      </c>
      <c r="D236" s="2298">
        <f>$G$3</f>
        <v>2014</v>
      </c>
      <c r="E236" s="2300">
        <f>'נספח 3 לטופס 2'!$M$26</f>
        <v>145674</v>
      </c>
      <c r="F236" s="2970"/>
      <c r="G236" s="2662"/>
      <c r="H236" s="2298"/>
      <c r="I236" s="2300"/>
      <c r="J236" s="2651"/>
      <c r="K236" s="2303"/>
      <c r="L236" s="2729"/>
      <c r="M236" s="2746"/>
      <c r="N236" s="2313"/>
      <c r="P236" s="2665"/>
    </row>
    <row r="237" spans="1:16" s="2314" customFormat="1" ht="30" customHeight="1">
      <c r="A237" s="2297"/>
      <c r="B237" s="2740" t="s">
        <v>148</v>
      </c>
      <c r="C237" s="2662" t="s">
        <v>282</v>
      </c>
      <c r="D237" s="2298">
        <f>$G$3</f>
        <v>2014</v>
      </c>
      <c r="E237" s="2300">
        <f>'נספח 3 לטופס 2'!$M$31</f>
        <v>139341</v>
      </c>
      <c r="F237" s="2970"/>
      <c r="G237" s="2662"/>
      <c r="H237" s="2298"/>
      <c r="I237" s="2300"/>
      <c r="J237" s="2651"/>
      <c r="K237" s="2303"/>
      <c r="L237" s="2729"/>
      <c r="M237" s="2746"/>
      <c r="N237" s="2313"/>
      <c r="P237" s="2665"/>
    </row>
    <row r="238" spans="1:16" s="2314" customFormat="1" ht="30" customHeight="1">
      <c r="A238" s="2297"/>
      <c r="B238" s="2740" t="s">
        <v>148</v>
      </c>
      <c r="C238" s="2662" t="s">
        <v>283</v>
      </c>
      <c r="D238" s="2298">
        <f>$G$3</f>
        <v>2014</v>
      </c>
      <c r="E238" s="2300">
        <f>'נספח 3 לטופס 2'!$M$33</f>
        <v>16804</v>
      </c>
      <c r="F238" s="2970"/>
      <c r="G238" s="2662"/>
      <c r="H238" s="2298"/>
      <c r="I238" s="2300"/>
      <c r="J238" s="2651"/>
      <c r="K238" s="2303"/>
      <c r="L238" s="2729"/>
      <c r="M238" s="2746"/>
      <c r="N238" s="2313"/>
      <c r="P238" s="2665"/>
    </row>
    <row r="239" spans="1:16" s="2314" customFormat="1" ht="30" customHeight="1">
      <c r="A239" s="2297"/>
      <c r="B239" s="2740"/>
      <c r="C239" s="2662" t="s">
        <v>782</v>
      </c>
      <c r="D239" s="2298"/>
      <c r="E239" s="2653">
        <f>SUM(E236:E238)</f>
        <v>301819</v>
      </c>
      <c r="F239" s="2970" t="s">
        <v>284</v>
      </c>
      <c r="G239" s="2662" t="s">
        <v>289</v>
      </c>
      <c r="H239" s="2298">
        <f>$G$3</f>
        <v>2014</v>
      </c>
      <c r="I239" s="2300">
        <f>'נספח 1 לטופס 2  המשך'!O8</f>
        <v>301819</v>
      </c>
      <c r="J239" s="2312" t="str">
        <f>IF(E239=I239,$B$3,"")</f>
        <v>תקין</v>
      </c>
      <c r="K239" s="2303" t="str">
        <f>IF(E239&lt;&gt;I239,E239-I239,"")</f>
        <v/>
      </c>
      <c r="L239" s="2729" t="str">
        <f>IF(E239&lt;&gt;I239,P239,"")</f>
        <v/>
      </c>
      <c r="M239" s="2746"/>
      <c r="N239" s="2313"/>
      <c r="P239" s="2665" t="s">
        <v>290</v>
      </c>
    </row>
    <row r="240" spans="1:16" s="2314" customFormat="1" ht="30" customHeight="1">
      <c r="A240" s="2297">
        <v>140</v>
      </c>
      <c r="B240" s="2740" t="s">
        <v>148</v>
      </c>
      <c r="C240" s="2662" t="s">
        <v>281</v>
      </c>
      <c r="D240" s="2298">
        <f>$F$3</f>
        <v>2015</v>
      </c>
      <c r="E240" s="2300">
        <f>'נספח 3 לטופס 2'!$E$26</f>
        <v>159426</v>
      </c>
      <c r="F240" s="2970"/>
      <c r="G240" s="2662"/>
      <c r="H240" s="2298"/>
      <c r="I240" s="2300"/>
      <c r="J240" s="2651"/>
      <c r="K240" s="2303"/>
      <c r="L240" s="2729"/>
      <c r="M240" s="2746"/>
      <c r="N240" s="2313"/>
      <c r="P240" s="2665"/>
    </row>
    <row r="241" spans="1:16" s="2314" customFormat="1" ht="30" customHeight="1">
      <c r="A241" s="2297"/>
      <c r="B241" s="2740" t="s">
        <v>148</v>
      </c>
      <c r="C241" s="2662" t="s">
        <v>286</v>
      </c>
      <c r="D241" s="2298">
        <f>$F$3</f>
        <v>2015</v>
      </c>
      <c r="E241" s="2300">
        <f>'נספח 3 לטופס 2'!$E$31</f>
        <v>154130</v>
      </c>
      <c r="F241" s="2970"/>
      <c r="G241" s="2662"/>
      <c r="H241" s="2298"/>
      <c r="I241" s="2300"/>
      <c r="J241" s="2651"/>
      <c r="K241" s="2303"/>
      <c r="L241" s="2729"/>
      <c r="M241" s="2746"/>
      <c r="N241" s="2313"/>
      <c r="P241" s="2665"/>
    </row>
    <row r="242" spans="1:16" s="2314" customFormat="1" ht="30" customHeight="1">
      <c r="A242" s="2297"/>
      <c r="B242" s="2740" t="s">
        <v>148</v>
      </c>
      <c r="C242" s="2662" t="s">
        <v>287</v>
      </c>
      <c r="D242" s="2298">
        <f>$F$3</f>
        <v>2015</v>
      </c>
      <c r="E242" s="2300">
        <f>'נספח 3 לטופס 2'!$E$33</f>
        <v>19149</v>
      </c>
      <c r="F242" s="2970"/>
      <c r="G242" s="2662"/>
      <c r="H242" s="2298"/>
      <c r="I242" s="2300"/>
      <c r="J242" s="2651"/>
      <c r="K242" s="2303"/>
      <c r="L242" s="2729"/>
      <c r="M242" s="2746"/>
      <c r="N242" s="2313"/>
      <c r="P242" s="2665"/>
    </row>
    <row r="243" spans="1:16" s="2314" customFormat="1" ht="32.25" customHeight="1">
      <c r="A243" s="2297"/>
      <c r="B243" s="2740"/>
      <c r="C243" s="2662" t="s">
        <v>782</v>
      </c>
      <c r="D243" s="2298"/>
      <c r="E243" s="2653">
        <f>SUM(E240:E242)</f>
        <v>332705</v>
      </c>
      <c r="F243" s="2970" t="s">
        <v>293</v>
      </c>
      <c r="G243" s="2662" t="s">
        <v>291</v>
      </c>
      <c r="H243" s="2298">
        <f>$F$3</f>
        <v>2015</v>
      </c>
      <c r="I243" s="2300">
        <f>'נתונים לנספח 4 לטופס 2 חלק א'!E32</f>
        <v>332705</v>
      </c>
      <c r="J243" s="2312" t="str">
        <f>IF(E243=I243,$B$3,"")</f>
        <v>תקין</v>
      </c>
      <c r="K243" s="2303" t="str">
        <f>IF(E243&lt;&gt;I243,E243-I243,"")</f>
        <v/>
      </c>
      <c r="L243" s="2729" t="str">
        <f>IF(E243&lt;&gt;I243,P243,"")</f>
        <v/>
      </c>
      <c r="M243" s="2746"/>
      <c r="N243" s="2313"/>
      <c r="P243" s="2665" t="s">
        <v>294</v>
      </c>
    </row>
    <row r="244" spans="1:16" s="2314" customFormat="1" ht="30" customHeight="1">
      <c r="A244" s="2297">
        <v>141</v>
      </c>
      <c r="B244" s="2740" t="s">
        <v>148</v>
      </c>
      <c r="C244" s="2662" t="s">
        <v>288</v>
      </c>
      <c r="D244" s="2298">
        <f>$F$3</f>
        <v>2015</v>
      </c>
      <c r="E244" s="2300">
        <f>'נספח 3 לטופס 2'!$G$26</f>
        <v>154298</v>
      </c>
      <c r="F244" s="2970" t="s">
        <v>1275</v>
      </c>
      <c r="G244" s="2662" t="s">
        <v>292</v>
      </c>
      <c r="H244" s="2298">
        <f>$F$3</f>
        <v>2015</v>
      </c>
      <c r="I244" s="2300">
        <f>'נספח 4 לטופס 2 חלק א'!I36</f>
        <v>319902</v>
      </c>
      <c r="J244" s="2651"/>
      <c r="K244" s="2303"/>
      <c r="L244" s="2729"/>
      <c r="M244" s="2746"/>
      <c r="N244" s="2313"/>
      <c r="P244" s="2665"/>
    </row>
    <row r="245" spans="1:16" s="2314" customFormat="1" ht="30" customHeight="1">
      <c r="A245" s="2297"/>
      <c r="B245" s="2740" t="s">
        <v>148</v>
      </c>
      <c r="C245" s="2662" t="s">
        <v>282</v>
      </c>
      <c r="D245" s="2298">
        <f>$F$3</f>
        <v>2015</v>
      </c>
      <c r="E245" s="2300">
        <f>'נספח 3 לטופס 2'!$G$31</f>
        <v>147277</v>
      </c>
      <c r="F245" s="2970"/>
      <c r="G245" s="2662" t="s">
        <v>1577</v>
      </c>
      <c r="H245" s="2298"/>
      <c r="I245" s="2300">
        <f>SUM('נספח 5 לטופס 2'!H33:H42)</f>
        <v>-118</v>
      </c>
      <c r="J245" s="2651"/>
      <c r="K245" s="2303"/>
      <c r="L245" s="2729"/>
      <c r="M245" s="2746"/>
      <c r="N245" s="2313"/>
      <c r="P245" s="2665"/>
    </row>
    <row r="246" spans="1:16" s="2314" customFormat="1" ht="30" customHeight="1">
      <c r="A246" s="2297"/>
      <c r="B246" s="2740" t="s">
        <v>148</v>
      </c>
      <c r="C246" s="2662" t="s">
        <v>283</v>
      </c>
      <c r="D246" s="2298">
        <f>$F$3</f>
        <v>2015</v>
      </c>
      <c r="E246" s="2300">
        <f>'נספח 3 לטופס 2'!$G$33</f>
        <v>18209</v>
      </c>
      <c r="F246" s="2970"/>
      <c r="G246" s="2662"/>
      <c r="H246" s="2298"/>
      <c r="I246" s="2300"/>
      <c r="J246" s="2651"/>
      <c r="K246" s="2303"/>
      <c r="L246" s="2729"/>
      <c r="M246" s="2746"/>
      <c r="N246" s="2313"/>
      <c r="P246" s="2665"/>
    </row>
    <row r="247" spans="1:16" s="2314" customFormat="1" ht="30.6">
      <c r="A247" s="2297"/>
      <c r="B247" s="2740"/>
      <c r="C247" s="2662" t="s">
        <v>782</v>
      </c>
      <c r="D247" s="2298"/>
      <c r="E247" s="2653">
        <f>SUM(E244:E246)</f>
        <v>319784</v>
      </c>
      <c r="F247" s="2970"/>
      <c r="G247" s="2662" t="s">
        <v>782</v>
      </c>
      <c r="H247" s="2298"/>
      <c r="I247" s="2653">
        <f>SUM(I244:I246)</f>
        <v>319784</v>
      </c>
      <c r="J247" s="2312" t="str">
        <f>IF(E247=I247,$B$3,"")</f>
        <v>תקין</v>
      </c>
      <c r="K247" s="2303" t="str">
        <f>IF(E247&lt;&gt;I247,E247-I247,"")</f>
        <v/>
      </c>
      <c r="L247" s="2729" t="str">
        <f>IF(E247&lt;&gt;I247,P247,"")</f>
        <v/>
      </c>
      <c r="M247" s="2746"/>
      <c r="N247" s="2313"/>
      <c r="P247" s="2665" t="s">
        <v>294</v>
      </c>
    </row>
    <row r="248" spans="1:16" s="2314" customFormat="1" ht="30" customHeight="1">
      <c r="A248" s="2297">
        <v>142</v>
      </c>
      <c r="B248" s="2740" t="s">
        <v>148</v>
      </c>
      <c r="C248" s="2662" t="s">
        <v>288</v>
      </c>
      <c r="D248" s="2298">
        <f>$G$3</f>
        <v>2014</v>
      </c>
      <c r="E248" s="2300">
        <f>'נספח 3 לטופס 2'!$M$26</f>
        <v>145674</v>
      </c>
      <c r="F248" s="2970" t="s">
        <v>1275</v>
      </c>
      <c r="G248" s="2662" t="s">
        <v>292</v>
      </c>
      <c r="H248" s="2298">
        <f>$G$3</f>
        <v>2014</v>
      </c>
      <c r="I248" s="2300">
        <f>'נספח 4 לטופס 2 חלק א'!O36</f>
        <v>303771</v>
      </c>
      <c r="J248" s="2651"/>
      <c r="K248" s="2303"/>
      <c r="L248" s="2729"/>
      <c r="M248" s="2746"/>
      <c r="N248" s="2313"/>
      <c r="P248" s="2665"/>
    </row>
    <row r="249" spans="1:16" s="2314" customFormat="1" ht="30" customHeight="1">
      <c r="A249" s="2297"/>
      <c r="B249" s="2740" t="s">
        <v>148</v>
      </c>
      <c r="C249" s="2662" t="s">
        <v>282</v>
      </c>
      <c r="D249" s="2298">
        <f>$G$3</f>
        <v>2014</v>
      </c>
      <c r="E249" s="2300">
        <f>'נספח 3 לטופס 2'!$M$31</f>
        <v>139341</v>
      </c>
      <c r="F249" s="2970"/>
      <c r="G249" s="2662" t="s">
        <v>1577</v>
      </c>
      <c r="H249" s="2298">
        <f>$G$3</f>
        <v>2014</v>
      </c>
      <c r="I249" s="2300">
        <f>SUM('נספח 5 לטופס 2'!J33:J42)</f>
        <v>-1952</v>
      </c>
      <c r="J249" s="2651"/>
      <c r="K249" s="2303"/>
      <c r="L249" s="2729"/>
      <c r="M249" s="2746"/>
      <c r="N249" s="2313"/>
      <c r="P249" s="2665"/>
    </row>
    <row r="250" spans="1:16" s="2314" customFormat="1" ht="30" customHeight="1">
      <c r="A250" s="2297"/>
      <c r="B250" s="2740" t="s">
        <v>148</v>
      </c>
      <c r="C250" s="2662" t="s">
        <v>283</v>
      </c>
      <c r="D250" s="2298">
        <f>$G$3</f>
        <v>2014</v>
      </c>
      <c r="E250" s="2300">
        <f>'נספח 3 לטופס 2'!$M$33</f>
        <v>16804</v>
      </c>
      <c r="F250" s="2970"/>
      <c r="G250" s="2662"/>
      <c r="H250" s="2298"/>
      <c r="I250" s="2300"/>
      <c r="J250" s="2651"/>
      <c r="K250" s="2303"/>
      <c r="L250" s="2729"/>
      <c r="M250" s="2746"/>
      <c r="N250" s="2313"/>
      <c r="P250" s="2665"/>
    </row>
    <row r="251" spans="1:16" s="2314" customFormat="1" ht="30.6">
      <c r="A251" s="2297"/>
      <c r="B251" s="2740"/>
      <c r="C251" s="2662" t="s">
        <v>782</v>
      </c>
      <c r="D251" s="2298"/>
      <c r="E251" s="2653">
        <f>SUM(E248:E250)</f>
        <v>301819</v>
      </c>
      <c r="F251" s="2970"/>
      <c r="G251" s="2662" t="s">
        <v>782</v>
      </c>
      <c r="H251" s="2298"/>
      <c r="I251" s="2653">
        <f>SUM(I248:I250)</f>
        <v>301819</v>
      </c>
      <c r="J251" s="2312" t="str">
        <f>IF(E251=I251,$B$3,"")</f>
        <v>תקין</v>
      </c>
      <c r="K251" s="2303" t="str">
        <f>IF(E251&lt;&gt;I251,E251-I251,"")</f>
        <v/>
      </c>
      <c r="L251" s="2729" t="str">
        <f>IF(E251&lt;&gt;I251,P251,"")</f>
        <v/>
      </c>
      <c r="M251" s="2746"/>
      <c r="N251" s="2313"/>
      <c r="P251" s="2665" t="s">
        <v>294</v>
      </c>
    </row>
    <row r="252" spans="1:16" s="2314" customFormat="1" ht="20.399999999999999">
      <c r="A252" s="2297">
        <v>143</v>
      </c>
      <c r="B252" s="2740" t="s">
        <v>148</v>
      </c>
      <c r="C252" s="2662" t="s">
        <v>210</v>
      </c>
      <c r="D252" s="2298">
        <f t="shared" ref="D252:D289" si="35">$F$3</f>
        <v>2015</v>
      </c>
      <c r="E252" s="2300">
        <f>'נספח 3 לטופס 2'!E23</f>
        <v>836225</v>
      </c>
      <c r="F252" s="2970" t="s">
        <v>1213</v>
      </c>
      <c r="G252" s="2662" t="s">
        <v>211</v>
      </c>
      <c r="H252" s="2298">
        <f>$F$3</f>
        <v>2015</v>
      </c>
      <c r="I252" s="2300">
        <f>'טופס 2'!E55</f>
        <v>836225</v>
      </c>
      <c r="J252" s="2312" t="str">
        <f>IF(E252=I252,$B$3,"")</f>
        <v>תקין</v>
      </c>
      <c r="K252" s="2303" t="str">
        <f>IF(E252&lt;&gt;I252,E252-I252,"")</f>
        <v/>
      </c>
      <c r="L252" s="2729" t="str">
        <f>IF(E252&lt;&gt;I252,P252,"")</f>
        <v/>
      </c>
      <c r="M252" s="2746"/>
      <c r="N252" s="2313"/>
      <c r="P252" s="2665" t="s">
        <v>212</v>
      </c>
    </row>
    <row r="253" spans="1:16" s="2314" customFormat="1" ht="20.399999999999999">
      <c r="A253" s="2297">
        <v>144</v>
      </c>
      <c r="B253" s="2740" t="s">
        <v>148</v>
      </c>
      <c r="C253" s="2662" t="s">
        <v>213</v>
      </c>
      <c r="D253" s="2298">
        <f t="shared" si="35"/>
        <v>2015</v>
      </c>
      <c r="E253" s="2300">
        <f>'נספח 3 לטופס 2'!G23</f>
        <v>853785</v>
      </c>
      <c r="F253" s="2970" t="s">
        <v>1213</v>
      </c>
      <c r="G253" s="2662" t="s">
        <v>214</v>
      </c>
      <c r="H253" s="2298">
        <f>$F$3</f>
        <v>2015</v>
      </c>
      <c r="I253" s="2300">
        <f>'טופס 2'!G55</f>
        <v>853785</v>
      </c>
      <c r="J253" s="2312" t="str">
        <f>IF(E253=I253,$B$3,"")</f>
        <v>תקין</v>
      </c>
      <c r="K253" s="2303" t="str">
        <f>IF(E253&lt;&gt;I253,E253-I253,"")</f>
        <v/>
      </c>
      <c r="L253" s="2729" t="str">
        <f>IF(E253&lt;&gt;I253,P253,"")</f>
        <v/>
      </c>
      <c r="M253" s="2746"/>
      <c r="N253" s="2313"/>
      <c r="P253" s="2665" t="s">
        <v>215</v>
      </c>
    </row>
    <row r="254" spans="1:16" s="2314" customFormat="1" ht="20.399999999999999">
      <c r="A254" s="2297">
        <v>145</v>
      </c>
      <c r="B254" s="2740" t="s">
        <v>148</v>
      </c>
      <c r="C254" s="2662" t="s">
        <v>213</v>
      </c>
      <c r="D254" s="2298">
        <f>$G$3</f>
        <v>2014</v>
      </c>
      <c r="E254" s="2300">
        <f>'נספח 3 לטופס 2'!M23</f>
        <v>795695</v>
      </c>
      <c r="F254" s="2970" t="s">
        <v>1213</v>
      </c>
      <c r="G254" s="2662" t="s">
        <v>214</v>
      </c>
      <c r="H254" s="2298">
        <f>$G$3</f>
        <v>2014</v>
      </c>
      <c r="I254" s="2300">
        <f>'טופס 2'!I55</f>
        <v>795695</v>
      </c>
      <c r="J254" s="2312" t="str">
        <f>IF(E254=I254,$B$3,"")</f>
        <v>תקין</v>
      </c>
      <c r="K254" s="2303" t="str">
        <f>IF(E254&lt;&gt;I254,E254-I254,"")</f>
        <v/>
      </c>
      <c r="L254" s="2729" t="str">
        <f>IF(E254&lt;&gt;I254,P254,"")</f>
        <v/>
      </c>
      <c r="M254" s="2746"/>
      <c r="N254" s="2313"/>
      <c r="P254" s="2665" t="s">
        <v>215</v>
      </c>
    </row>
    <row r="255" spans="1:16" s="2314" customFormat="1" ht="30" customHeight="1">
      <c r="A255" s="2297">
        <v>146</v>
      </c>
      <c r="B255" s="2740" t="s">
        <v>69</v>
      </c>
      <c r="C255" s="2662" t="s">
        <v>259</v>
      </c>
      <c r="D255" s="2298">
        <f t="shared" si="35"/>
        <v>2015</v>
      </c>
      <c r="E255" s="2300">
        <f>'נספח 4 לטופס 2 חלק א'!I12</f>
        <v>147397</v>
      </c>
      <c r="F255" s="2740" t="s">
        <v>69</v>
      </c>
      <c r="G255" s="2662" t="s">
        <v>263</v>
      </c>
      <c r="H255" s="2298">
        <f>$G$3</f>
        <v>2014</v>
      </c>
      <c r="I255" s="2300">
        <f>'נספח 4 לטופס 2 חלק א'!O12</f>
        <v>142277</v>
      </c>
      <c r="J255" s="2312" t="str">
        <f>IF($E255&lt;&gt;0, IF( $E255 / $I255 &gt; 'נתונים משותפים'!E39,"",$B$3),"")</f>
        <v>תקין</v>
      </c>
      <c r="K255" s="2968" t="str">
        <f>IF($E255&lt;&gt;0,IF($E255 / $I255 &lt;= 'נתונים משותפים'!E39,"",($E255 / $I255)-1),"")</f>
        <v/>
      </c>
      <c r="L255" s="2729" t="str">
        <f>IF($E255&lt;&gt;0,IF($E255 / $I255 &lt;= 'נתונים משותפים'!E39,"",P255),"")</f>
        <v/>
      </c>
      <c r="M255" s="2746"/>
      <c r="N255" s="2313"/>
      <c r="P255" s="2665" t="s">
        <v>267</v>
      </c>
    </row>
    <row r="256" spans="1:16" s="2314" customFormat="1" ht="30" customHeight="1">
      <c r="A256" s="2297">
        <v>147</v>
      </c>
      <c r="B256" s="2740" t="s">
        <v>69</v>
      </c>
      <c r="C256" s="2662" t="s">
        <v>260</v>
      </c>
      <c r="D256" s="2298">
        <f t="shared" si="35"/>
        <v>2015</v>
      </c>
      <c r="E256" s="2300">
        <f>'נספח 4 לטופס 2 חלק א'!I15</f>
        <v>18216</v>
      </c>
      <c r="F256" s="2740" t="s">
        <v>69</v>
      </c>
      <c r="G256" s="2662" t="s">
        <v>264</v>
      </c>
      <c r="H256" s="2298">
        <f>$G$3</f>
        <v>2014</v>
      </c>
      <c r="I256" s="2300">
        <f>'נספח 4 לטופס 2 חלק א'!O15</f>
        <v>16990</v>
      </c>
      <c r="J256" s="2312" t="str">
        <f>IF($E256&lt;&gt;0, IF( $E256 / $I256 &gt; 'נתונים משותפים'!E40,"",$B$3),"")</f>
        <v/>
      </c>
      <c r="K256" s="2968">
        <f>IF($E256&lt;&gt;0,IF($E256 / $I256 &lt;= 'נתונים משותפים'!E40,"",($E256 / $I256)-1),"")</f>
        <v>7.2160094173042921E-2</v>
      </c>
      <c r="L256" s="2729" t="str">
        <f>IF($E256&lt;&gt;0,IF($E256 / $I256 &lt;= 'נתונים משותפים'!E40,"",P256),"")</f>
        <v>גידול חריג בשכר רווחה בין השנה הנוכחית לשנה הקודמת</v>
      </c>
      <c r="M256" s="2746" t="s">
        <v>2593</v>
      </c>
      <c r="N256" s="2313"/>
      <c r="P256" s="2665" t="s">
        <v>268</v>
      </c>
    </row>
    <row r="257" spans="1:18" s="2314" customFormat="1" ht="38.25" customHeight="1">
      <c r="A257" s="2297">
        <v>148</v>
      </c>
      <c r="B257" s="2740" t="s">
        <v>69</v>
      </c>
      <c r="C257" s="2662" t="s">
        <v>261</v>
      </c>
      <c r="D257" s="2298">
        <f t="shared" si="35"/>
        <v>2015</v>
      </c>
      <c r="E257" s="2300">
        <f>'נספח 4 לטופס 2 חלק א'!I23</f>
        <v>101501</v>
      </c>
      <c r="F257" s="2740" t="s">
        <v>69</v>
      </c>
      <c r="G257" s="2662" t="s">
        <v>265</v>
      </c>
      <c r="H257" s="2298">
        <f>$G$3</f>
        <v>2014</v>
      </c>
      <c r="I257" s="2300">
        <f>'נספח 4 לטופס 2 חלק א'!O23</f>
        <v>94742</v>
      </c>
      <c r="J257" s="2312" t="str">
        <f>IF($E257&lt;&gt;0, IF( $E257 / $I257 &gt; 'נתונים משותפים'!E41,"",$B$3),"")</f>
        <v/>
      </c>
      <c r="K257" s="2968">
        <f>IF($E257&lt;&gt;0,IF($E257 / $I257 &lt;= 'נתונים משותפים'!E41,"",($E257 / $I257)-1),"")</f>
        <v>7.1341115872580296E-2</v>
      </c>
      <c r="L257" s="2729" t="str">
        <f>IF($E257&lt;&gt;0,IF($E257 / $I257 &lt;= 'נתונים משותפים'!E41,"",P257),"")</f>
        <v>גידול חריג בשכר יתר המשרות בין השנה הנוכחית לשנה הקודמת</v>
      </c>
      <c r="M257" s="2746" t="s">
        <v>2593</v>
      </c>
      <c r="N257" s="2313"/>
      <c r="P257" s="2665" t="s">
        <v>269</v>
      </c>
    </row>
    <row r="258" spans="1:18" s="2314" customFormat="1" ht="30" customHeight="1">
      <c r="A258" s="2297">
        <v>149</v>
      </c>
      <c r="B258" s="2740" t="s">
        <v>69</v>
      </c>
      <c r="C258" s="2662" t="s">
        <v>262</v>
      </c>
      <c r="D258" s="2298">
        <f t="shared" si="35"/>
        <v>2015</v>
      </c>
      <c r="E258" s="2300">
        <f>'נספח 4 לטופס 2 חלק א'!I29</f>
        <v>2045</v>
      </c>
      <c r="F258" s="2740" t="s">
        <v>69</v>
      </c>
      <c r="G258" s="2662" t="s">
        <v>266</v>
      </c>
      <c r="H258" s="2298">
        <f>$G$3</f>
        <v>2014</v>
      </c>
      <c r="I258" s="2300">
        <f>'נספח 4 לטופס 2 חלק א'!O29</f>
        <v>1957</v>
      </c>
      <c r="J258" s="2312" t="str">
        <f>IF($E258&lt;&gt;0, IF( $E258 / $I258 &gt; 'נתונים משותפים'!E42,"",$B$3),"")</f>
        <v/>
      </c>
      <c r="K258" s="2968">
        <f>IF($E258&lt;&gt;0,IF($E258 / $I258 &lt;= 'נתונים משותפים'!E42,"",($E258 / $I258)-1),"")</f>
        <v>4.4966785896780825E-2</v>
      </c>
      <c r="L258" s="2729" t="str">
        <f>IF($E258&lt;&gt;0,IF($E258 / $I258 &lt;= 'נתונים משותפים'!E42,"",P258),"")</f>
        <v>גידול חריג בשכר נבחרים בין השנה הנוכחית לשנה הקודמת</v>
      </c>
      <c r="M258" s="2746" t="s">
        <v>2593</v>
      </c>
      <c r="N258" s="2313"/>
      <c r="P258" s="2665" t="s">
        <v>270</v>
      </c>
    </row>
    <row r="259" spans="1:18" s="2314" customFormat="1" ht="30" customHeight="1">
      <c r="A259" s="2297">
        <v>150</v>
      </c>
      <c r="B259" s="2740" t="s">
        <v>70</v>
      </c>
      <c r="C259" s="2662" t="s">
        <v>305</v>
      </c>
      <c r="D259" s="2298">
        <f t="shared" si="35"/>
        <v>2015</v>
      </c>
      <c r="E259" s="2300">
        <f>'נתונים לנספח 4 לטופס 2 חלק א'!E26</f>
        <v>50180</v>
      </c>
      <c r="F259" s="2970" t="s">
        <v>1216</v>
      </c>
      <c r="G259" s="2662" t="s">
        <v>975</v>
      </c>
      <c r="H259" s="2298">
        <f t="shared" ref="H259:H264" si="36">$F$3</f>
        <v>2015</v>
      </c>
      <c r="I259" s="2300">
        <f>'ביאור 4'!C24</f>
        <v>27250</v>
      </c>
      <c r="J259" s="2312" t="str">
        <f>IF(E259=I259,$B$3,"")</f>
        <v/>
      </c>
      <c r="K259" s="2303">
        <f>IF(E259&lt;&gt;I259,E259-I259,"")</f>
        <v>22930</v>
      </c>
      <c r="L259" s="2729" t="str">
        <f>IF(E259&lt;&gt;I259,P259,"")</f>
        <v>אין התאמה בין תשלומי פנסיה תקציב בנתונים לנספח 4 לטופס 2 ובין תשלומי פנסיה בביאור 4</v>
      </c>
      <c r="M259" s="2746" t="s">
        <v>2477</v>
      </c>
      <c r="N259" s="2313"/>
      <c r="P259" s="2665" t="s">
        <v>315</v>
      </c>
    </row>
    <row r="260" spans="1:18" s="2314" customFormat="1" ht="30" customHeight="1">
      <c r="A260" s="2297">
        <v>151</v>
      </c>
      <c r="B260" s="2740" t="s">
        <v>70</v>
      </c>
      <c r="C260" s="2662" t="s">
        <v>307</v>
      </c>
      <c r="D260" s="2298">
        <f t="shared" si="35"/>
        <v>2015</v>
      </c>
      <c r="E260" s="2300">
        <f>'נתונים לנספח 4 לטופס 2 חלק א'!F26</f>
        <v>46049</v>
      </c>
      <c r="F260" s="2970" t="s">
        <v>1216</v>
      </c>
      <c r="G260" s="2662" t="s">
        <v>975</v>
      </c>
      <c r="H260" s="2298">
        <f t="shared" si="36"/>
        <v>2015</v>
      </c>
      <c r="I260" s="2300">
        <f>'ביאור 4'!E24</f>
        <v>26194</v>
      </c>
      <c r="J260" s="2312" t="str">
        <f>IF(E260=I260,$B$3,"")</f>
        <v/>
      </c>
      <c r="K260" s="2303">
        <f>IF(E260&lt;&gt;I260,E260-I260,"")</f>
        <v>19855</v>
      </c>
      <c r="L260" s="2729" t="str">
        <f>IF(E260&lt;&gt;I260,P260,"")</f>
        <v>אין התאמה בין תשלומי פנסיה ביצוע לפי הנה"ח בנתונים לנספח 4 לטופס 2 ובין תשלומי פנסיה בביאור 4</v>
      </c>
      <c r="M260" s="2746" t="s">
        <v>2477</v>
      </c>
      <c r="N260" s="2313"/>
      <c r="P260" s="2665" t="s">
        <v>316</v>
      </c>
    </row>
    <row r="261" spans="1:18" s="2314" customFormat="1" ht="30.6">
      <c r="A261" s="2297">
        <v>152</v>
      </c>
      <c r="B261" s="2740" t="s">
        <v>70</v>
      </c>
      <c r="C261" s="2662" t="s">
        <v>307</v>
      </c>
      <c r="D261" s="2298">
        <f>$G$3</f>
        <v>2014</v>
      </c>
      <c r="E261" s="2300">
        <f>'נתונים לנספח 4 לטופס 2 חלק א'!K26</f>
        <v>42318</v>
      </c>
      <c r="F261" s="2970" t="s">
        <v>1216</v>
      </c>
      <c r="G261" s="2662" t="s">
        <v>975</v>
      </c>
      <c r="H261" s="2298">
        <f>$G$3</f>
        <v>2014</v>
      </c>
      <c r="I261" s="2300">
        <f>'ביאור 4'!G24</f>
        <v>24647</v>
      </c>
      <c r="J261" s="2312" t="str">
        <f>IF(E261=I261,$B$3,"")</f>
        <v/>
      </c>
      <c r="K261" s="2303">
        <f>IF(E261&lt;&gt;I261,E261-I261,"")</f>
        <v>17671</v>
      </c>
      <c r="L261" s="2729" t="str">
        <f>IF(E261&lt;&gt;I261,P261,"")</f>
        <v>אין התאמה בין תשלומי פנסיה ביצוע לפי הנה"ח בנתונים לנספח 4 לטופס 2 ובין תשלומי פנסיה בביאור 4</v>
      </c>
      <c r="M261" s="2746" t="s">
        <v>2477</v>
      </c>
      <c r="N261" s="2313"/>
      <c r="P261" s="2665" t="s">
        <v>316</v>
      </c>
    </row>
    <row r="262" spans="1:18" s="2314" customFormat="1" ht="30.6">
      <c r="A262" s="2297">
        <v>153</v>
      </c>
      <c r="B262" s="2740" t="s">
        <v>70</v>
      </c>
      <c r="C262" s="2662" t="s">
        <v>306</v>
      </c>
      <c r="D262" s="2298">
        <f t="shared" si="35"/>
        <v>2015</v>
      </c>
      <c r="E262" s="2300">
        <f>'נתונים לנספח 4 לטופס 2 חלק א'!G26</f>
        <v>45198</v>
      </c>
      <c r="F262" s="2970" t="s">
        <v>1216</v>
      </c>
      <c r="G262" s="2662" t="s">
        <v>975</v>
      </c>
      <c r="H262" s="2298">
        <f t="shared" si="36"/>
        <v>2015</v>
      </c>
      <c r="I262" s="2300">
        <f>'ביאור 4'!E24</f>
        <v>26194</v>
      </c>
      <c r="J262" s="2312" t="str">
        <f>IF(E262=I262,$B$3,"")</f>
        <v/>
      </c>
      <c r="K262" s="2303">
        <f>IF(E262&lt;&gt;I262,E262-I262,"")</f>
        <v>19004</v>
      </c>
      <c r="L262" s="2729" t="str">
        <f>IF(E262&lt;&gt;I262,P262,"")</f>
        <v>אין התאמה בין תשלומי פנסיה ביצוע לפי דוח 66 בנתונים לנספח 4 לטופס 2 ובין תשלומי פנסיה בביאור 4</v>
      </c>
      <c r="M262" s="2746" t="s">
        <v>2477</v>
      </c>
      <c r="N262" s="2313"/>
      <c r="P262" s="2665" t="s">
        <v>317</v>
      </c>
    </row>
    <row r="263" spans="1:18" s="2314" customFormat="1" ht="30.6">
      <c r="A263" s="2297">
        <v>154</v>
      </c>
      <c r="B263" s="2740" t="s">
        <v>70</v>
      </c>
      <c r="C263" s="2662" t="s">
        <v>306</v>
      </c>
      <c r="D263" s="2298">
        <f>$G$3</f>
        <v>2014</v>
      </c>
      <c r="E263" s="2300">
        <f>'נתונים לנספח 4 לטופס 2 חלק א'!L26</f>
        <v>43339</v>
      </c>
      <c r="F263" s="2970" t="s">
        <v>1216</v>
      </c>
      <c r="G263" s="2662" t="s">
        <v>975</v>
      </c>
      <c r="H263" s="2298">
        <f>$G$3</f>
        <v>2014</v>
      </c>
      <c r="I263" s="2300">
        <f>'ביאור 4'!G24</f>
        <v>24647</v>
      </c>
      <c r="J263" s="2312" t="str">
        <f>IF(E263=I263,$B$3,"")</f>
        <v/>
      </c>
      <c r="K263" s="2303">
        <f>IF(E263&lt;&gt;I263,E263-I263,"")</f>
        <v>18692</v>
      </c>
      <c r="L263" s="2729" t="str">
        <f>IF(E263&lt;&gt;I263,P263,"")</f>
        <v>אין התאמה בין תשלומי פנסיה ביצוע לפי דוח 66 בנתונים לנספח 4 לטופס 2 ובין תשלומי פנסיה בביאור 4</v>
      </c>
      <c r="M263" s="2746" t="s">
        <v>2477</v>
      </c>
      <c r="N263" s="2313"/>
      <c r="P263" s="2665" t="s">
        <v>317</v>
      </c>
    </row>
    <row r="264" spans="1:18" s="2314" customFormat="1" ht="34.5" customHeight="1">
      <c r="A264" s="2297">
        <v>155</v>
      </c>
      <c r="B264" s="2740" t="s">
        <v>69</v>
      </c>
      <c r="C264" s="2662" t="s">
        <v>306</v>
      </c>
      <c r="D264" s="2298">
        <f t="shared" si="35"/>
        <v>2015</v>
      </c>
      <c r="E264" s="2300">
        <f>'נספח 4 לטופס 2 חלק א'!I30</f>
        <v>45198</v>
      </c>
      <c r="F264" s="2970" t="s">
        <v>783</v>
      </c>
      <c r="G264" s="2662" t="s">
        <v>975</v>
      </c>
      <c r="H264" s="2298">
        <f t="shared" si="36"/>
        <v>2015</v>
      </c>
      <c r="I264" s="2300">
        <f>'נספח 5 לטופס 2'!D12</f>
        <v>42319</v>
      </c>
      <c r="J264" s="2312" t="str">
        <f>IF(OR(E264=0,E264&gt;I264),$B$3,"")</f>
        <v>תקין</v>
      </c>
      <c r="K264" s="2303" t="str">
        <f>IF(AND(E264&lt;I264,E264&lt;&gt;0),E264-I264,"")</f>
        <v/>
      </c>
      <c r="L264" s="2729" t="str">
        <f>IF(AND(E264&lt;I264,E264&lt;&gt;0),P264,"")</f>
        <v/>
      </c>
      <c r="M264" s="2746"/>
      <c r="N264" s="2313"/>
      <c r="P264" s="2665" t="s">
        <v>608</v>
      </c>
    </row>
    <row r="265" spans="1:18" s="2314" customFormat="1" ht="33" customHeight="1">
      <c r="A265" s="2297">
        <v>156</v>
      </c>
      <c r="B265" s="2740" t="s">
        <v>69</v>
      </c>
      <c r="C265" s="2662" t="s">
        <v>306</v>
      </c>
      <c r="D265" s="2298">
        <f>$G$3</f>
        <v>2014</v>
      </c>
      <c r="E265" s="2300">
        <f>'נספח 4 לטופס 2 חלק א'!O30</f>
        <v>43339</v>
      </c>
      <c r="F265" s="2970" t="s">
        <v>783</v>
      </c>
      <c r="G265" s="2662" t="s">
        <v>975</v>
      </c>
      <c r="H265" s="2298">
        <f>$G$3</f>
        <v>2014</v>
      </c>
      <c r="I265" s="2300">
        <f>'נספח 5 לטופס 2'!H12</f>
        <v>40580</v>
      </c>
      <c r="J265" s="2312" t="str">
        <f>IF(OR(E265=0,E265&gt;I265),$B$3,"")</f>
        <v>תקין</v>
      </c>
      <c r="K265" s="2303" t="str">
        <f>IF(AND(E265&lt;I265,E265&lt;&gt;0),E265-I265,"")</f>
        <v/>
      </c>
      <c r="L265" s="2729" t="str">
        <f>IF(AND(E265&lt;I265,E265&lt;&gt;0),P265,"")</f>
        <v/>
      </c>
      <c r="M265" s="2746"/>
      <c r="N265" s="2313"/>
      <c r="P265" s="2665" t="s">
        <v>608</v>
      </c>
    </row>
    <row r="266" spans="1:18" s="2314" customFormat="1" ht="33" customHeight="1">
      <c r="A266" s="2297">
        <v>157</v>
      </c>
      <c r="B266" s="2740" t="s">
        <v>68</v>
      </c>
      <c r="C266" s="2662" t="s">
        <v>71</v>
      </c>
      <c r="D266" s="2298">
        <f>$F$3</f>
        <v>2015</v>
      </c>
      <c r="E266" s="2300">
        <f>'נספח 4 לטופס 2 חלק ב'!J44</f>
        <v>319902</v>
      </c>
      <c r="F266" s="2970" t="s">
        <v>783</v>
      </c>
      <c r="G266" s="2662" t="s">
        <v>72</v>
      </c>
      <c r="H266" s="2298">
        <f t="shared" ref="H266:H288" si="37">Shana</f>
        <v>2015</v>
      </c>
      <c r="I266" s="2300">
        <f>'נספח 5 לטופס 2'!D25</f>
        <v>319902</v>
      </c>
      <c r="J266" s="2312" t="str">
        <f>IF(E266=I266,$B$3,"")</f>
        <v>תקין</v>
      </c>
      <c r="K266" s="2303" t="str">
        <f>IF(E266&lt;&gt;I266,E266-I266,"")</f>
        <v/>
      </c>
      <c r="L266" s="2729" t="str">
        <f>IF(E266&lt;&gt;I266,P266,"")</f>
        <v/>
      </c>
      <c r="M266" s="2746"/>
      <c r="N266" s="2313"/>
      <c r="P266" s="2665" t="s">
        <v>73</v>
      </c>
    </row>
    <row r="267" spans="1:18" s="2314" customFormat="1" ht="37.5" customHeight="1">
      <c r="A267" s="2297">
        <v>158</v>
      </c>
      <c r="B267" s="2740" t="s">
        <v>68</v>
      </c>
      <c r="C267" s="2662" t="s">
        <v>74</v>
      </c>
      <c r="D267" s="2298">
        <f>$F$3</f>
        <v>2015</v>
      </c>
      <c r="E267" s="3207">
        <f>ROUND('נספח 4 לטופס 2 חלק ב'!H44,2)</f>
        <v>1939.31</v>
      </c>
      <c r="F267" s="2970" t="s">
        <v>69</v>
      </c>
      <c r="G267" s="2662" t="s">
        <v>1401</v>
      </c>
      <c r="H267" s="2298">
        <f t="shared" si="37"/>
        <v>2015</v>
      </c>
      <c r="I267" s="3207">
        <f>ROUND('נספח 4 לטופס 2 חלק א'!G34,2)</f>
        <v>1939.31</v>
      </c>
      <c r="J267" s="2312" t="str">
        <f>IF(E267=I267,$B$3,"")</f>
        <v>תקין</v>
      </c>
      <c r="K267" s="3208" t="str">
        <f>IF(E267&lt;&gt;I267,E267-I267,"")</f>
        <v/>
      </c>
      <c r="L267" s="2729" t="str">
        <f>IF(E267&lt;&gt;I267,P267,"")</f>
        <v/>
      </c>
      <c r="M267" s="2746"/>
      <c r="N267" s="2313"/>
      <c r="P267" s="2665" t="s">
        <v>75</v>
      </c>
    </row>
    <row r="268" spans="1:18" s="2314" customFormat="1" ht="33" customHeight="1">
      <c r="A268" s="2297">
        <v>159</v>
      </c>
      <c r="B268" s="2740" t="s">
        <v>68</v>
      </c>
      <c r="C268" s="2662" t="s">
        <v>76</v>
      </c>
      <c r="D268" s="2298">
        <f>$F$3</f>
        <v>2015</v>
      </c>
      <c r="E268" s="2300">
        <f>'נספח 4 לטופס 2 חלק ב'!F44</f>
        <v>332705</v>
      </c>
      <c r="F268" s="2970" t="s">
        <v>284</v>
      </c>
      <c r="G268" s="2662" t="s">
        <v>77</v>
      </c>
      <c r="H268" s="2298">
        <f t="shared" si="37"/>
        <v>2015</v>
      </c>
      <c r="I268" s="2300">
        <f>'נספח 1 לטופס 2  המשך'!E8</f>
        <v>332705</v>
      </c>
      <c r="J268" s="2312" t="str">
        <f>IF(E268=I268,$B$3,"")</f>
        <v>תקין</v>
      </c>
      <c r="K268" s="2303" t="str">
        <f>IF(E268&lt;&gt;I268,E268-I268,"")</f>
        <v/>
      </c>
      <c r="L268" s="2729" t="str">
        <f>IF(E268&lt;&gt;I268,P268,"")</f>
        <v/>
      </c>
      <c r="M268" s="2746"/>
      <c r="N268" s="2313"/>
      <c r="P268" s="2665" t="s">
        <v>78</v>
      </c>
    </row>
    <row r="269" spans="1:18" s="2314" customFormat="1" ht="33" customHeight="1">
      <c r="A269" s="2961">
        <v>160</v>
      </c>
      <c r="B269" s="2740" t="s">
        <v>69</v>
      </c>
      <c r="C269" s="2662" t="s">
        <v>1536</v>
      </c>
      <c r="D269" s="2298">
        <f t="shared" ref="D269:D288" si="38">$F$3</f>
        <v>2015</v>
      </c>
      <c r="E269" s="3207">
        <f>ROUND('נספח 4 לטופס 2 חלק א'!K10,2)</f>
        <v>156.15</v>
      </c>
      <c r="F269" s="2740" t="s">
        <v>69</v>
      </c>
      <c r="G269" s="2662" t="s">
        <v>1540</v>
      </c>
      <c r="H269" s="2298">
        <f t="shared" si="37"/>
        <v>2015</v>
      </c>
      <c r="I269" s="3207">
        <f>ROUND('נספח 4 לטופס 2 חלק א'!K11,2)</f>
        <v>0</v>
      </c>
      <c r="J269" s="2312" t="str">
        <f t="shared" ref="J269:J280" si="39">IF(E269=I269,$B$3,"")</f>
        <v/>
      </c>
      <c r="K269" s="3208">
        <f t="shared" ref="K269:K278" si="40">IF(E269&lt;&gt;I269,E269-I269,"")</f>
        <v>156.15</v>
      </c>
      <c r="L269" s="2729" t="str">
        <f>IF(I269=0,R269,IF(E269&lt;&gt;I269,P269,""))</f>
        <v>האם אין שכר ללא תקן?</v>
      </c>
      <c r="M269" s="2746" t="s">
        <v>2548</v>
      </c>
      <c r="N269" s="2313"/>
      <c r="P269" s="2665" t="s">
        <v>1544</v>
      </c>
      <c r="R269" s="2314" t="s">
        <v>2121</v>
      </c>
    </row>
    <row r="270" spans="1:18" s="2314" customFormat="1" ht="33" customHeight="1">
      <c r="A270" s="2961">
        <v>161</v>
      </c>
      <c r="B270" s="2740" t="s">
        <v>69</v>
      </c>
      <c r="C270" s="2662" t="s">
        <v>1537</v>
      </c>
      <c r="D270" s="2298">
        <f t="shared" si="38"/>
        <v>2015</v>
      </c>
      <c r="E270" s="3207">
        <f>ROUND('נספח 4 לטופס 2 חלק א'!K13,2)</f>
        <v>175.22</v>
      </c>
      <c r="F270" s="2740" t="s">
        <v>69</v>
      </c>
      <c r="G270" s="2662" t="s">
        <v>1541</v>
      </c>
      <c r="H270" s="2298">
        <f t="shared" si="37"/>
        <v>2015</v>
      </c>
      <c r="I270" s="3207">
        <f>ROUND('נספח 4 לטופס 2 חלק א'!K14,2)</f>
        <v>0</v>
      </c>
      <c r="J270" s="2312" t="str">
        <f t="shared" si="39"/>
        <v/>
      </c>
      <c r="K270" s="3208">
        <f t="shared" si="40"/>
        <v>175.22</v>
      </c>
      <c r="L270" s="2729" t="str">
        <f>IF(I270=0,R270,IF(E270&lt;&gt;I270,P270,""))</f>
        <v>האם אין שכר ללא תקן?</v>
      </c>
      <c r="M270" s="2746" t="s">
        <v>2548</v>
      </c>
      <c r="N270" s="2313"/>
      <c r="P270" s="2665" t="s">
        <v>1544</v>
      </c>
      <c r="R270" s="2314" t="s">
        <v>2121</v>
      </c>
    </row>
    <row r="271" spans="1:18" s="2314" customFormat="1" ht="33" customHeight="1">
      <c r="A271" s="2961">
        <v>162</v>
      </c>
      <c r="B271" s="2740" t="s">
        <v>69</v>
      </c>
      <c r="C271" s="2662" t="s">
        <v>1538</v>
      </c>
      <c r="D271" s="2298">
        <f t="shared" si="38"/>
        <v>2015</v>
      </c>
      <c r="E271" s="3207">
        <f>ROUND('נספח 4 לטופס 2 חלק א'!K16,2)</f>
        <v>500.71</v>
      </c>
      <c r="F271" s="2740" t="s">
        <v>69</v>
      </c>
      <c r="G271" s="2662" t="s">
        <v>1542</v>
      </c>
      <c r="H271" s="2298">
        <f t="shared" si="37"/>
        <v>2015</v>
      </c>
      <c r="I271" s="3207">
        <f>ROUND('נספח 4 לטופס 2 חלק א'!K17,2)</f>
        <v>0</v>
      </c>
      <c r="J271" s="2312" t="str">
        <f t="shared" si="39"/>
        <v/>
      </c>
      <c r="K271" s="3208" t="str">
        <f>IF(I271&lt;&gt;0,IF(E271&lt;&gt;I271,E271-I271,""),"")</f>
        <v/>
      </c>
      <c r="L271" s="2729" t="str">
        <f>IF(I271&lt;&gt;0,IF(E271&lt;&gt;I271,P271,""),"")</f>
        <v/>
      </c>
      <c r="M271" s="2746"/>
      <c r="N271" s="2313"/>
      <c r="P271" s="2665" t="s">
        <v>1544</v>
      </c>
    </row>
    <row r="272" spans="1:18" s="2314" customFormat="1" ht="33" customHeight="1">
      <c r="A272" s="2961">
        <v>163</v>
      </c>
      <c r="B272" s="2740" t="s">
        <v>69</v>
      </c>
      <c r="C272" s="2662" t="s">
        <v>1539</v>
      </c>
      <c r="D272" s="2298">
        <f t="shared" si="38"/>
        <v>2015</v>
      </c>
      <c r="E272" s="3207">
        <f>ROUND('נספח 4 לטופס 2 חלק א'!K19,2)</f>
        <v>176.27</v>
      </c>
      <c r="F272" s="2740" t="s">
        <v>69</v>
      </c>
      <c r="G272" s="2662" t="s">
        <v>1543</v>
      </c>
      <c r="H272" s="2298">
        <f t="shared" si="37"/>
        <v>2015</v>
      </c>
      <c r="I272" s="3207">
        <f>ROUND('נספח 4 לטופס 2 חלק א'!K20,2)</f>
        <v>0</v>
      </c>
      <c r="J272" s="2312" t="str">
        <f t="shared" si="39"/>
        <v/>
      </c>
      <c r="K272" s="3208">
        <f t="shared" si="40"/>
        <v>176.27</v>
      </c>
      <c r="L272" s="2729" t="str">
        <f>IF(I272=0,R272,IF(E272&lt;&gt;I272,P272,""))</f>
        <v>האם אין שכר ללא תקן?</v>
      </c>
      <c r="M272" s="2746" t="s">
        <v>2548</v>
      </c>
      <c r="N272" s="2313"/>
      <c r="P272" s="2665" t="s">
        <v>1544</v>
      </c>
      <c r="R272" s="2314" t="s">
        <v>2121</v>
      </c>
    </row>
    <row r="273" spans="1:16" s="2314" customFormat="1" ht="33" customHeight="1">
      <c r="A273" s="2961">
        <v>164</v>
      </c>
      <c r="B273" s="2740" t="s">
        <v>69</v>
      </c>
      <c r="C273" s="2662" t="s">
        <v>1545</v>
      </c>
      <c r="D273" s="2298">
        <f t="shared" si="38"/>
        <v>2015</v>
      </c>
      <c r="E273" s="2300">
        <f>'נספח 4 לטופס 2 חלק א'!I34</f>
        <v>319902</v>
      </c>
      <c r="F273" s="2740" t="s">
        <v>68</v>
      </c>
      <c r="G273" s="2662" t="s">
        <v>71</v>
      </c>
      <c r="H273" s="2298">
        <f t="shared" si="37"/>
        <v>2015</v>
      </c>
      <c r="I273" s="2300">
        <f>'נספח 4 לטופס 2 חלק ב'!J44</f>
        <v>319902</v>
      </c>
      <c r="J273" s="2312" t="str">
        <f t="shared" si="39"/>
        <v>תקין</v>
      </c>
      <c r="K273" s="2303" t="str">
        <f t="shared" si="40"/>
        <v/>
      </c>
      <c r="L273" s="2729" t="str">
        <f t="shared" ref="L273:L280" si="41">IF(E273&lt;&gt;I273,P273,"")</f>
        <v/>
      </c>
      <c r="M273" s="2746"/>
      <c r="N273" s="2313"/>
      <c r="P273" s="2665" t="s">
        <v>1559</v>
      </c>
    </row>
    <row r="274" spans="1:16" s="2314" customFormat="1" ht="33" customHeight="1">
      <c r="A274" s="2961">
        <v>165</v>
      </c>
      <c r="B274" s="2740" t="s">
        <v>69</v>
      </c>
      <c r="C274" s="2662" t="s">
        <v>1558</v>
      </c>
      <c r="D274" s="2298">
        <f t="shared" si="38"/>
        <v>2015</v>
      </c>
      <c r="E274" s="2300">
        <f>'נספח 4 לטופס 2 חלק א'!I31+'נספח 4 לטופס 2 חלק א'!I32</f>
        <v>5545</v>
      </c>
      <c r="F274" s="2740" t="s">
        <v>783</v>
      </c>
      <c r="G274" s="2662" t="s">
        <v>1558</v>
      </c>
      <c r="H274" s="2298">
        <f t="shared" si="37"/>
        <v>2015</v>
      </c>
      <c r="I274" s="2300">
        <f>'נספח 5 לטופס 2'!D10</f>
        <v>5467</v>
      </c>
      <c r="J274" s="2312" t="str">
        <f t="shared" si="39"/>
        <v/>
      </c>
      <c r="K274" s="2303">
        <f t="shared" si="40"/>
        <v>78</v>
      </c>
      <c r="L274" s="2729" t="str">
        <f t="shared" si="41"/>
        <v>אין התאמה בין הוצאות הפיצויים בנספח 4 לטופס 2 חלק א לבין הוצאות הפיצויים בנספח 5 לטופס 2.</v>
      </c>
      <c r="M274" s="2746" t="s">
        <v>2547</v>
      </c>
      <c r="N274" s="2313"/>
      <c r="P274" s="2665" t="s">
        <v>1560</v>
      </c>
    </row>
    <row r="275" spans="1:16" s="2314" customFormat="1" ht="33" customHeight="1">
      <c r="A275" s="2961">
        <v>166</v>
      </c>
      <c r="B275" s="2740" t="s">
        <v>69</v>
      </c>
      <c r="C275" s="2662" t="s">
        <v>1546</v>
      </c>
      <c r="D275" s="2298">
        <f t="shared" si="38"/>
        <v>2015</v>
      </c>
      <c r="E275" s="3207">
        <f>ROUND('נספח 4 לטופס 2 חלק א'!G12,2)</f>
        <v>943.96</v>
      </c>
      <c r="F275" s="2740" t="s">
        <v>68</v>
      </c>
      <c r="G275" s="2662" t="s">
        <v>1550</v>
      </c>
      <c r="H275" s="2298">
        <f t="shared" si="37"/>
        <v>2015</v>
      </c>
      <c r="I275" s="3207">
        <f>ROUND('נספח 4 לטופס 2 חלק ב'!H24+'נספח 4 לטופס 2 חלק ב'!H25,2)</f>
        <v>943.96</v>
      </c>
      <c r="J275" s="2312" t="str">
        <f t="shared" si="39"/>
        <v>תקין</v>
      </c>
      <c r="K275" s="3208" t="str">
        <f t="shared" si="40"/>
        <v/>
      </c>
      <c r="L275" s="2729" t="str">
        <f t="shared" si="41"/>
        <v/>
      </c>
      <c r="M275" s="2746"/>
      <c r="N275" s="2313"/>
      <c r="P275" s="2665" t="s">
        <v>1554</v>
      </c>
    </row>
    <row r="276" spans="1:16" s="2314" customFormat="1" ht="33" customHeight="1">
      <c r="A276" s="2961">
        <v>167</v>
      </c>
      <c r="B276" s="2740" t="s">
        <v>69</v>
      </c>
      <c r="C276" s="2662" t="s">
        <v>1547</v>
      </c>
      <c r="D276" s="2298">
        <f t="shared" si="38"/>
        <v>2015</v>
      </c>
      <c r="E276" s="3207">
        <f>ROUND('נספח 4 לטופס 2 חלק א'!G15,2)</f>
        <v>103.96</v>
      </c>
      <c r="F276" s="2740" t="s">
        <v>68</v>
      </c>
      <c r="G276" s="2662" t="s">
        <v>1551</v>
      </c>
      <c r="H276" s="2298">
        <f t="shared" si="37"/>
        <v>2015</v>
      </c>
      <c r="I276" s="3207">
        <f>ROUND('נספח 4 לטופס 2 חלק ב'!H28,2)</f>
        <v>103.96</v>
      </c>
      <c r="J276" s="2312" t="str">
        <f t="shared" si="39"/>
        <v>תקין</v>
      </c>
      <c r="K276" s="3208" t="str">
        <f t="shared" si="40"/>
        <v/>
      </c>
      <c r="L276" s="2729" t="str">
        <f t="shared" si="41"/>
        <v/>
      </c>
      <c r="M276" s="2746"/>
      <c r="N276" s="2313"/>
      <c r="P276" s="2665" t="s">
        <v>1555</v>
      </c>
    </row>
    <row r="277" spans="1:16" s="2314" customFormat="1" ht="33" customHeight="1">
      <c r="A277" s="2961">
        <v>168</v>
      </c>
      <c r="B277" s="2740" t="s">
        <v>69</v>
      </c>
      <c r="C277" s="2662" t="s">
        <v>1548</v>
      </c>
      <c r="D277" s="2298">
        <f t="shared" si="38"/>
        <v>2015</v>
      </c>
      <c r="E277" s="3207">
        <f>ROUND('נספח 4 לטופס 2 חלק א'!G29,2)</f>
        <v>3</v>
      </c>
      <c r="F277" s="2740" t="s">
        <v>68</v>
      </c>
      <c r="G277" s="2662" t="s">
        <v>1552</v>
      </c>
      <c r="H277" s="2298">
        <f t="shared" si="37"/>
        <v>2015</v>
      </c>
      <c r="I277" s="3207">
        <f>ROUND('נספח 4 לטופס 2 חלק ב'!H10,2)</f>
        <v>3</v>
      </c>
      <c r="J277" s="2312" t="str">
        <f t="shared" si="39"/>
        <v>תקין</v>
      </c>
      <c r="K277" s="3208" t="str">
        <f t="shared" si="40"/>
        <v/>
      </c>
      <c r="L277" s="2729" t="str">
        <f t="shared" si="41"/>
        <v/>
      </c>
      <c r="M277" s="2746"/>
      <c r="N277" s="2313"/>
      <c r="P277" s="2665" t="s">
        <v>1556</v>
      </c>
    </row>
    <row r="278" spans="1:16" s="2314" customFormat="1" ht="33" customHeight="1">
      <c r="A278" s="2961">
        <v>169</v>
      </c>
      <c r="B278" s="2740" t="s">
        <v>69</v>
      </c>
      <c r="C278" s="2662" t="s">
        <v>1549</v>
      </c>
      <c r="D278" s="2298">
        <f t="shared" si="38"/>
        <v>2015</v>
      </c>
      <c r="E278" s="3207">
        <f>ROUND('נספח 4 לטופס 2 חלק א'!G30,2)</f>
        <v>338.32</v>
      </c>
      <c r="F278" s="2740" t="s">
        <v>68</v>
      </c>
      <c r="G278" s="2662" t="s">
        <v>1553</v>
      </c>
      <c r="H278" s="2298">
        <f t="shared" si="37"/>
        <v>2015</v>
      </c>
      <c r="I278" s="3207">
        <f>ROUND('נספח 4 לטופס 2 חלק ב'!H42,2)</f>
        <v>338.32</v>
      </c>
      <c r="J278" s="2312" t="str">
        <f t="shared" si="39"/>
        <v>תקין</v>
      </c>
      <c r="K278" s="3208" t="str">
        <f t="shared" si="40"/>
        <v/>
      </c>
      <c r="L278" s="2729" t="str">
        <f t="shared" si="41"/>
        <v/>
      </c>
      <c r="M278" s="2746"/>
      <c r="N278" s="2313"/>
      <c r="P278" s="2665" t="s">
        <v>1557</v>
      </c>
    </row>
    <row r="279" spans="1:16" s="2314" customFormat="1" ht="33" customHeight="1">
      <c r="A279" s="2961">
        <v>170</v>
      </c>
      <c r="B279" s="2740" t="s">
        <v>69</v>
      </c>
      <c r="C279" s="2662" t="s">
        <v>1566</v>
      </c>
      <c r="D279" s="2298">
        <f t="shared" si="38"/>
        <v>2015</v>
      </c>
      <c r="E279" s="2300">
        <f>'נספח 4 לטופס 2 חלק א'!I12</f>
        <v>147397</v>
      </c>
      <c r="F279" s="2740" t="s">
        <v>68</v>
      </c>
      <c r="G279" s="2662" t="s">
        <v>1567</v>
      </c>
      <c r="H279" s="2298">
        <f t="shared" si="37"/>
        <v>2015</v>
      </c>
      <c r="I279" s="2300">
        <f>'נספח 4 לטופס 2 חלק ב'!J24+'נספח 4 לטופס 2 חלק ב'!J25</f>
        <v>151247</v>
      </c>
      <c r="J279" s="2312" t="str">
        <f t="shared" si="39"/>
        <v/>
      </c>
      <c r="K279" s="3208">
        <f t="shared" ref="K279:K280" si="42">IF(E279&lt;&gt;I279,E279-I279,"")</f>
        <v>-3850</v>
      </c>
      <c r="L279" s="2729" t="str">
        <f>IF(E279&lt;&gt;I279,P279,"")</f>
        <v>אין התאמה בין הוצאות שכר חינוך בנספח 4 לטופס 2 חלק א לבין הוצאות השכר בנספח 4 לטופס 2 חלק ב.</v>
      </c>
      <c r="M279" s="2746" t="s">
        <v>2556</v>
      </c>
      <c r="N279" s="2313"/>
      <c r="P279" s="2665" t="s">
        <v>1568</v>
      </c>
    </row>
    <row r="280" spans="1:16" s="2314" customFormat="1" ht="33" customHeight="1">
      <c r="A280" s="2961">
        <v>171</v>
      </c>
      <c r="B280" s="2740" t="s">
        <v>69</v>
      </c>
      <c r="C280" s="2662" t="s">
        <v>2111</v>
      </c>
      <c r="D280" s="2298">
        <f t="shared" si="38"/>
        <v>2015</v>
      </c>
      <c r="E280" s="2300">
        <f>'נספח 4 לטופס 2 חלק א'!I15</f>
        <v>18216</v>
      </c>
      <c r="F280" s="2740" t="s">
        <v>68</v>
      </c>
      <c r="G280" s="2662" t="s">
        <v>1570</v>
      </c>
      <c r="H280" s="2298">
        <f t="shared" si="37"/>
        <v>2015</v>
      </c>
      <c r="I280" s="2300">
        <f>'נספח 4 לטופס 2 חלק ב'!J28</f>
        <v>18362</v>
      </c>
      <c r="J280" s="2312" t="str">
        <f t="shared" si="39"/>
        <v/>
      </c>
      <c r="K280" s="3208">
        <f t="shared" si="42"/>
        <v>-146</v>
      </c>
      <c r="L280" s="2729" t="str">
        <f t="shared" si="41"/>
        <v>אין התאמה בין הוצאות שכר רווחה בנספח 4 לטופס 2 חלק א לבין הוצאות השכר בנספח 4 לטופס 2 חלק ב.</v>
      </c>
      <c r="M280" s="2746" t="s">
        <v>2555</v>
      </c>
      <c r="N280" s="2313"/>
      <c r="P280" s="2665" t="s">
        <v>1569</v>
      </c>
    </row>
    <row r="281" spans="1:16" s="2314" customFormat="1" ht="33" customHeight="1">
      <c r="A281" s="2961">
        <v>172</v>
      </c>
      <c r="B281" s="2740" t="s">
        <v>69</v>
      </c>
      <c r="C281" s="2662" t="s">
        <v>1571</v>
      </c>
      <c r="D281" s="2298">
        <f t="shared" si="38"/>
        <v>2015</v>
      </c>
      <c r="E281" s="2300">
        <f>'נספח 4 לטופס 2 חלק א'!I29</f>
        <v>2045</v>
      </c>
      <c r="F281" s="2740" t="s">
        <v>68</v>
      </c>
      <c r="G281" s="2662" t="s">
        <v>1573</v>
      </c>
      <c r="H281" s="2298">
        <f t="shared" si="37"/>
        <v>2015</v>
      </c>
      <c r="I281" s="2300">
        <f>'נספח 4 לטופס 2 חלק ב'!J10</f>
        <v>2045</v>
      </c>
      <c r="J281" s="2312" t="str">
        <f t="shared" ref="J281:J282" si="43">IF(E281=I281,$B$3,"")</f>
        <v>תקין</v>
      </c>
      <c r="K281" s="3208" t="str">
        <f t="shared" ref="K281:K282" si="44">IF(E281&lt;&gt;I281,E281-I281,"")</f>
        <v/>
      </c>
      <c r="L281" s="2729" t="str">
        <f t="shared" ref="L281:L282" si="45">IF(E281&lt;&gt;I281,P281,"")</f>
        <v/>
      </c>
      <c r="M281" s="2746"/>
      <c r="N281" s="2313"/>
      <c r="P281" s="2665" t="s">
        <v>1575</v>
      </c>
    </row>
    <row r="282" spans="1:16" s="2314" customFormat="1" ht="33" customHeight="1">
      <c r="A282" s="2961">
        <v>173</v>
      </c>
      <c r="B282" s="2740" t="s">
        <v>69</v>
      </c>
      <c r="C282" s="2662" t="s">
        <v>1572</v>
      </c>
      <c r="D282" s="2298">
        <f t="shared" si="38"/>
        <v>2015</v>
      </c>
      <c r="E282" s="2300">
        <f>'נספח 4 לטופס 2 חלק א'!I30</f>
        <v>45198</v>
      </c>
      <c r="F282" s="2740" t="s">
        <v>68</v>
      </c>
      <c r="G282" s="2662" t="s">
        <v>1574</v>
      </c>
      <c r="H282" s="2298">
        <f t="shared" si="37"/>
        <v>2015</v>
      </c>
      <c r="I282" s="2300">
        <f>'נספח 4 לטופס 2 חלק ב'!J42</f>
        <v>46781</v>
      </c>
      <c r="J282" s="2312" t="str">
        <f t="shared" si="43"/>
        <v/>
      </c>
      <c r="K282" s="2303">
        <f t="shared" si="44"/>
        <v>-1583</v>
      </c>
      <c r="L282" s="2729" t="str">
        <f t="shared" si="45"/>
        <v>אין התאמה בין הוצאות שכר גימלאים בנספח 4 לטופס 2 חלק א לבין הוצאות השכר בנספח 4 לטופס 2 חלק ב.</v>
      </c>
      <c r="M282" s="2746" t="s">
        <v>2554</v>
      </c>
      <c r="N282" s="2313"/>
      <c r="P282" s="2665" t="s">
        <v>1576</v>
      </c>
    </row>
    <row r="283" spans="1:16" s="2314" customFormat="1" ht="26.4">
      <c r="A283" s="3274">
        <v>174</v>
      </c>
      <c r="B283" s="2740" t="s">
        <v>1275</v>
      </c>
      <c r="C283" s="2662" t="s">
        <v>2158</v>
      </c>
      <c r="D283" s="2298">
        <f t="shared" si="38"/>
        <v>2015</v>
      </c>
      <c r="E283" s="3249">
        <f>+'נספח 4 לטופס 2 חלק א'!U12</f>
        <v>-2.7624348715993285E-2</v>
      </c>
      <c r="F283" s="3290" t="s">
        <v>69</v>
      </c>
      <c r="G283" s="2662" t="str">
        <f t="shared" ref="G283:G288" si="46">IF(ABS(E283)&gt;5%,"האם נרשם הסבר לסטיה בעלות הממוצעת למשרה? יש לבחור כן/לא."," ")</f>
        <v xml:space="preserve"> </v>
      </c>
      <c r="H283" s="2298">
        <f t="shared" si="37"/>
        <v>2015</v>
      </c>
      <c r="I283" s="2306" t="s">
        <v>1481</v>
      </c>
      <c r="J283" s="2312" t="str">
        <f>IF(ABS(E283)&gt;5%,IF(I283="כן","תקין",""),"")</f>
        <v/>
      </c>
      <c r="K283" s="2303"/>
      <c r="L283" s="2729" t="str">
        <f>IF(ABS(E283)&gt;5%,IF(I283="כן","",P283),"")</f>
        <v/>
      </c>
      <c r="M283" s="2746"/>
      <c r="N283" s="2313"/>
      <c r="P283" s="2665" t="s">
        <v>2166</v>
      </c>
    </row>
    <row r="284" spans="1:16" s="2314" customFormat="1" ht="33" customHeight="1">
      <c r="A284" s="3274">
        <v>175</v>
      </c>
      <c r="B284" s="2740" t="s">
        <v>1275</v>
      </c>
      <c r="C284" s="2662" t="s">
        <v>2159</v>
      </c>
      <c r="D284" s="2298">
        <f t="shared" si="38"/>
        <v>2015</v>
      </c>
      <c r="E284" s="3249">
        <f>+'נספח 4 לטופס 2 חלק א'!U15</f>
        <v>-9.9329642111183336E-3</v>
      </c>
      <c r="F284" s="3290" t="s">
        <v>69</v>
      </c>
      <c r="G284" s="2662" t="str">
        <f t="shared" si="46"/>
        <v xml:space="preserve"> </v>
      </c>
      <c r="H284" s="2298">
        <f t="shared" si="37"/>
        <v>2015</v>
      </c>
      <c r="I284" s="2306" t="s">
        <v>1481</v>
      </c>
      <c r="J284" s="2312" t="str">
        <f t="shared" ref="J284:J288" si="47">IF(ABS(E284)&gt;5%,IF(I284="כן","תקין",""),"")</f>
        <v/>
      </c>
      <c r="K284" s="2303"/>
      <c r="L284" s="2729" t="str">
        <f t="shared" ref="L284:L288" si="48">IF(ABS(E284)&gt;5%,IF(I284="כן","",P284),"")</f>
        <v/>
      </c>
      <c r="M284" s="2746"/>
      <c r="N284" s="2313"/>
      <c r="P284" s="2665" t="s">
        <v>2163</v>
      </c>
    </row>
    <row r="285" spans="1:16" s="2314" customFormat="1" ht="33" customHeight="1">
      <c r="A285" s="3274">
        <v>176</v>
      </c>
      <c r="B285" s="2740" t="s">
        <v>1275</v>
      </c>
      <c r="C285" s="2662" t="s">
        <v>2160</v>
      </c>
      <c r="D285" s="2298">
        <f t="shared" si="38"/>
        <v>2015</v>
      </c>
      <c r="E285" s="3249">
        <f>+'נספח 4 לטופס 2 חלק א'!U18</f>
        <v>1.7367981356901652E-3</v>
      </c>
      <c r="F285" s="3290" t="s">
        <v>69</v>
      </c>
      <c r="G285" s="2662" t="str">
        <f t="shared" si="46"/>
        <v xml:space="preserve"> </v>
      </c>
      <c r="H285" s="2298">
        <f t="shared" si="37"/>
        <v>2015</v>
      </c>
      <c r="I285" s="2306" t="s">
        <v>1481</v>
      </c>
      <c r="J285" s="2312" t="str">
        <f t="shared" si="47"/>
        <v/>
      </c>
      <c r="K285" s="2303"/>
      <c r="L285" s="2729" t="str">
        <f t="shared" si="48"/>
        <v/>
      </c>
      <c r="M285" s="2746"/>
      <c r="N285" s="2313"/>
      <c r="P285" s="2665" t="s">
        <v>2164</v>
      </c>
    </row>
    <row r="286" spans="1:16" s="2314" customFormat="1" ht="33" customHeight="1">
      <c r="A286" s="3274">
        <v>178</v>
      </c>
      <c r="B286" s="2740" t="s">
        <v>1275</v>
      </c>
      <c r="C286" s="2662" t="s">
        <v>2165</v>
      </c>
      <c r="D286" s="2298">
        <f t="shared" si="38"/>
        <v>2015</v>
      </c>
      <c r="E286" s="3249">
        <f>+'נספח 4 לטופס 2 חלק א'!U21</f>
        <v>4.4685205774193104E-2</v>
      </c>
      <c r="F286" s="3290" t="s">
        <v>69</v>
      </c>
      <c r="G286" s="2662" t="str">
        <f t="shared" si="46"/>
        <v xml:space="preserve"> </v>
      </c>
      <c r="H286" s="2298">
        <f t="shared" si="37"/>
        <v>2015</v>
      </c>
      <c r="I286" s="2306" t="s">
        <v>1481</v>
      </c>
      <c r="J286" s="2312" t="str">
        <f t="shared" si="47"/>
        <v/>
      </c>
      <c r="K286" s="2303"/>
      <c r="L286" s="2729" t="str">
        <f t="shared" si="48"/>
        <v/>
      </c>
      <c r="M286" s="2746"/>
      <c r="N286" s="2313"/>
      <c r="P286" s="2665" t="s">
        <v>2167</v>
      </c>
    </row>
    <row r="287" spans="1:16" s="2314" customFormat="1" ht="33" customHeight="1">
      <c r="A287" s="3274">
        <v>178</v>
      </c>
      <c r="B287" s="2740" t="s">
        <v>1275</v>
      </c>
      <c r="C287" s="2662" t="s">
        <v>2161</v>
      </c>
      <c r="D287" s="2298">
        <f t="shared" si="38"/>
        <v>2015</v>
      </c>
      <c r="E287" s="3249">
        <f>+'נספח 4 לטופס 2 חלק א'!U29</f>
        <v>4.4966785896780603E-2</v>
      </c>
      <c r="F287" s="3290" t="s">
        <v>69</v>
      </c>
      <c r="G287" s="2662" t="str">
        <f>IF(ABS(E287)&gt;1%,"האם נרשם הסבר לסטיה בעלות הממוצעת למשרה? יש לבחור כן/לא."," ")</f>
        <v>האם נרשם הסבר לסטיה בעלות הממוצעת למשרה? יש לבחור כן/לא.</v>
      </c>
      <c r="H287" s="2298">
        <f t="shared" si="37"/>
        <v>2015</v>
      </c>
      <c r="I287" s="2306" t="s">
        <v>1481</v>
      </c>
      <c r="J287" s="2312" t="str">
        <f>IF(ABS(E287)&gt;1%,IF(I287="כן","תקין",""),"")</f>
        <v/>
      </c>
      <c r="K287" s="2303"/>
      <c r="L287" s="2729" t="str">
        <f>IF(ABS(E287)&gt;1%,IF(I287="כן","",P287),"")</f>
        <v>יש להזין הסבר לסטיה בעלות הממוצעת למשרה-בכירים מעל 5%</v>
      </c>
      <c r="M287" s="2746" t="s">
        <v>2600</v>
      </c>
      <c r="N287" s="2313"/>
      <c r="P287" s="2665" t="s">
        <v>2168</v>
      </c>
    </row>
    <row r="288" spans="1:16" s="2314" customFormat="1" ht="33" customHeight="1">
      <c r="A288" s="3274">
        <v>179</v>
      </c>
      <c r="B288" s="2740" t="s">
        <v>1275</v>
      </c>
      <c r="C288" s="2662" t="s">
        <v>2162</v>
      </c>
      <c r="D288" s="2298">
        <f t="shared" si="38"/>
        <v>2015</v>
      </c>
      <c r="E288" s="3249">
        <f>+'נספח 4 לטופס 2 חלק א'!U30</f>
        <v>-4.3305503460430161E-3</v>
      </c>
      <c r="F288" s="3290" t="s">
        <v>69</v>
      </c>
      <c r="G288" s="2662" t="str">
        <f t="shared" si="46"/>
        <v xml:space="preserve"> </v>
      </c>
      <c r="H288" s="2298">
        <f t="shared" si="37"/>
        <v>2015</v>
      </c>
      <c r="I288" s="2306" t="s">
        <v>1481</v>
      </c>
      <c r="J288" s="2312" t="str">
        <f t="shared" si="47"/>
        <v/>
      </c>
      <c r="K288" s="2303"/>
      <c r="L288" s="2729" t="str">
        <f t="shared" si="48"/>
        <v/>
      </c>
      <c r="M288" s="2746"/>
      <c r="N288" s="2313"/>
      <c r="P288" s="2665" t="s">
        <v>2169</v>
      </c>
    </row>
    <row r="289" spans="1:16" s="2314" customFormat="1" ht="43.5" customHeight="1">
      <c r="A289" s="2297">
        <v>180</v>
      </c>
      <c r="B289" s="2740" t="s">
        <v>273</v>
      </c>
      <c r="C289" s="2662" t="s">
        <v>274</v>
      </c>
      <c r="D289" s="2298">
        <f t="shared" si="35"/>
        <v>2015</v>
      </c>
      <c r="E289" s="2300">
        <f>'נספח 6 לטופס 2'!$M$26</f>
        <v>0</v>
      </c>
      <c r="F289" s="2970"/>
      <c r="G289" s="2662"/>
      <c r="H289" s="2298"/>
      <c r="I289" s="2300"/>
      <c r="J289" s="2312" t="str">
        <f>IF(E289&gt;0,"",$B$3)</f>
        <v>תקין</v>
      </c>
      <c r="K289" s="2303">
        <f>IF($E289&gt;0,E289,0)</f>
        <v>0</v>
      </c>
      <c r="L289" s="2729">
        <f>IF($E289&gt;0,P289,0)</f>
        <v>0</v>
      </c>
      <c r="M289" s="2746"/>
      <c r="N289" s="2313"/>
      <c r="P289" s="2665" t="str">
        <f>CONCATENATE("ב- ",E289," סעיפים בנספח 6 לטופס 2 בשנה הנוכחית התעריף המשוקלל נמוך מתעריף מינימום")</f>
        <v>ב- 0 סעיפים בנספח 6 לטופס 2 בשנה הנוכחית התעריף המשוקלל נמוך מתעריף מינימום</v>
      </c>
    </row>
    <row r="290" spans="1:16" s="2314" customFormat="1" ht="43.5" customHeight="1">
      <c r="A290" s="3274">
        <v>181</v>
      </c>
      <c r="B290" s="2740" t="s">
        <v>273</v>
      </c>
      <c r="C290" s="3285" t="s">
        <v>2213</v>
      </c>
      <c r="D290" s="2298">
        <f>$G$3</f>
        <v>2014</v>
      </c>
      <c r="E290" s="2300">
        <f>AVERAGE('נספח 6 לטופס 2'!H8:H25)</f>
        <v>147.47707410470255</v>
      </c>
      <c r="F290" s="2740" t="s">
        <v>273</v>
      </c>
      <c r="G290" s="3285" t="s">
        <v>2214</v>
      </c>
      <c r="H290" s="2298">
        <f>H3</f>
        <v>2013</v>
      </c>
      <c r="I290" s="2300">
        <f>AVERAGE('נספח 6 לטופס 2'!J8:J25)</f>
        <v>175.33583333333334</v>
      </c>
      <c r="J290" s="2302" t="str">
        <f>IF(E290&lt;=I290*110%,$B$3,"")</f>
        <v>תקין</v>
      </c>
      <c r="K290" s="3165" t="str">
        <f>IF(E290&gt;I290*110%,E290/I290-1,"")</f>
        <v/>
      </c>
      <c r="L290" s="2729">
        <f>IF($E290&gt;I290*110%,P290,0)</f>
        <v>0</v>
      </c>
      <c r="M290" s="2746"/>
      <c r="N290" s="2313"/>
      <c r="P290" s="2665" t="s">
        <v>2215</v>
      </c>
    </row>
    <row r="291" spans="1:16" ht="26.4">
      <c r="A291" s="2297">
        <v>182</v>
      </c>
      <c r="B291" s="2298" t="s">
        <v>1236</v>
      </c>
      <c r="C291" s="2304" t="s">
        <v>1286</v>
      </c>
      <c r="D291" s="2308">
        <f t="shared" si="10"/>
        <v>2015</v>
      </c>
      <c r="E291" s="2300">
        <f>('נספח 1 לטופס 3'!Q9+'נספח 1 לטופס 3'!R9)-('נספח 1 לטופס 3'!S9+'נספח 1 לטופס 3'!T9)</f>
        <v>682</v>
      </c>
      <c r="F291" s="2301" t="s">
        <v>1236</v>
      </c>
      <c r="G291" s="2298" t="s">
        <v>1287</v>
      </c>
      <c r="H291" s="2308">
        <f t="shared" ref="H291:H327" si="49">$F$3</f>
        <v>2015</v>
      </c>
      <c r="I291" s="2300">
        <f>'נספח 1 לטופס 3'!P9</f>
        <v>682</v>
      </c>
      <c r="J291" s="2302" t="str">
        <f t="shared" ref="J291:J298" si="50">IF(E291=I291,$B$3,"")</f>
        <v>תקין</v>
      </c>
      <c r="K291" s="2303" t="str">
        <f t="shared" ref="K291:K298" si="51">IF(E291&lt;&gt;I291,E291-I291,"")</f>
        <v/>
      </c>
      <c r="L291" s="2729" t="str">
        <f>IF(E291&lt;&gt;I291,P291,"")</f>
        <v/>
      </c>
      <c r="M291" s="2746"/>
      <c r="N291" s="2280"/>
      <c r="P291" s="2665" t="s">
        <v>807</v>
      </c>
    </row>
    <row r="292" spans="1:16" ht="26.4">
      <c r="A292" s="2297">
        <v>183</v>
      </c>
      <c r="B292" s="2298" t="s">
        <v>1236</v>
      </c>
      <c r="C292" s="2304" t="s">
        <v>1288</v>
      </c>
      <c r="D292" s="2308">
        <f t="shared" si="10"/>
        <v>2015</v>
      </c>
      <c r="E292" s="2300">
        <f>('נספח 1 לטופס 3'!Q10+'נספח 1 לטופס 3'!R10)-('נספח 1 לטופס 3'!S10+'נספח 1 לטופס 3'!T10)</f>
        <v>86</v>
      </c>
      <c r="F292" s="2301" t="s">
        <v>1236</v>
      </c>
      <c r="G292" s="2298" t="s">
        <v>1290</v>
      </c>
      <c r="H292" s="2308">
        <f t="shared" si="49"/>
        <v>2015</v>
      </c>
      <c r="I292" s="2300">
        <f>'נספח 1 לטופס 3'!P10</f>
        <v>86</v>
      </c>
      <c r="J292" s="2302" t="str">
        <f t="shared" si="50"/>
        <v>תקין</v>
      </c>
      <c r="K292" s="2303" t="str">
        <f t="shared" si="51"/>
        <v/>
      </c>
      <c r="L292" s="2729" t="str">
        <f>IF(E292&lt;&gt;I292,P292,"")</f>
        <v/>
      </c>
      <c r="M292" s="2746"/>
      <c r="N292" s="2280"/>
      <c r="P292" s="2665" t="s">
        <v>807</v>
      </c>
    </row>
    <row r="293" spans="1:16" ht="26.4">
      <c r="A293" s="2297">
        <v>184</v>
      </c>
      <c r="B293" s="2298" t="s">
        <v>1236</v>
      </c>
      <c r="C293" s="2304" t="s">
        <v>1291</v>
      </c>
      <c r="D293" s="2308">
        <f t="shared" si="10"/>
        <v>2015</v>
      </c>
      <c r="E293" s="2300">
        <f>('נספח 1 לטופס 3'!Q11+'נספח 1 לטופס 3'!R11)-('נספח 1 לטופס 3'!S11+'נספח 1 לטופס 3'!T11)</f>
        <v>0</v>
      </c>
      <c r="F293" s="2301" t="s">
        <v>1236</v>
      </c>
      <c r="G293" s="2298" t="s">
        <v>1292</v>
      </c>
      <c r="H293" s="2308">
        <f t="shared" si="49"/>
        <v>2015</v>
      </c>
      <c r="I293" s="2300">
        <f>'נספח 1 לטופס 3'!P11</f>
        <v>0</v>
      </c>
      <c r="J293" s="2302" t="str">
        <f t="shared" si="50"/>
        <v>תקין</v>
      </c>
      <c r="K293" s="2303" t="str">
        <f t="shared" si="51"/>
        <v/>
      </c>
      <c r="L293" s="2729" t="str">
        <f>IF(E293&lt;&gt;I293,P293,"")</f>
        <v/>
      </c>
      <c r="M293" s="2746"/>
      <c r="N293" s="2280"/>
      <c r="P293" s="2665" t="s">
        <v>807</v>
      </c>
    </row>
    <row r="294" spans="1:16" ht="26.4">
      <c r="A294" s="2297">
        <v>185</v>
      </c>
      <c r="B294" s="2298" t="s">
        <v>1236</v>
      </c>
      <c r="C294" s="2304" t="s">
        <v>1293</v>
      </c>
      <c r="D294" s="2308">
        <f t="shared" si="10"/>
        <v>2015</v>
      </c>
      <c r="E294" s="2300">
        <f>('נספח 1 לטופס 3'!Q12+'נספח 1 לטופס 3'!R12)-('נספח 1 לטופס 3'!S12+'נספח 1 לטופס 3'!T12)</f>
        <v>0</v>
      </c>
      <c r="F294" s="2301" t="s">
        <v>1236</v>
      </c>
      <c r="G294" s="2298" t="s">
        <v>1294</v>
      </c>
      <c r="H294" s="2308">
        <f t="shared" si="49"/>
        <v>2015</v>
      </c>
      <c r="I294" s="2300">
        <f>'נספח 1 לטופס 3'!P12</f>
        <v>0</v>
      </c>
      <c r="J294" s="2302" t="str">
        <f t="shared" si="50"/>
        <v>תקין</v>
      </c>
      <c r="K294" s="2303" t="str">
        <f t="shared" si="51"/>
        <v/>
      </c>
      <c r="L294" s="2729" t="str">
        <f>IF(E294&lt;&gt;I294,P294,"")</f>
        <v/>
      </c>
      <c r="M294" s="2746"/>
      <c r="N294" s="2280"/>
      <c r="P294" s="2665" t="s">
        <v>807</v>
      </c>
    </row>
    <row r="295" spans="1:16" ht="26.4">
      <c r="A295" s="2297">
        <v>186</v>
      </c>
      <c r="B295" s="2298" t="s">
        <v>1236</v>
      </c>
      <c r="C295" s="2304" t="s">
        <v>1295</v>
      </c>
      <c r="D295" s="2308">
        <f t="shared" si="10"/>
        <v>2015</v>
      </c>
      <c r="E295" s="2300">
        <f>('נספח 1 לטופס 3'!Q13+'נספח 1 לטופס 3'!R13)-('נספח 1 לטופס 3'!S13+'נספח 1 לטופס 3'!T13)</f>
        <v>4153</v>
      </c>
      <c r="F295" s="2301" t="s">
        <v>1236</v>
      </c>
      <c r="G295" s="2298" t="s">
        <v>1296</v>
      </c>
      <c r="H295" s="2308">
        <f t="shared" si="49"/>
        <v>2015</v>
      </c>
      <c r="I295" s="2300">
        <f>'נספח 1 לטופס 3'!P13</f>
        <v>4153</v>
      </c>
      <c r="J295" s="2302" t="str">
        <f t="shared" si="50"/>
        <v>תקין</v>
      </c>
      <c r="K295" s="2303" t="str">
        <f t="shared" si="51"/>
        <v/>
      </c>
      <c r="L295" s="2729" t="str">
        <f>IF(E295&lt;&gt;I295,P295,"")</f>
        <v/>
      </c>
      <c r="M295" s="2746"/>
      <c r="N295" s="2280"/>
      <c r="P295" s="2665" t="s">
        <v>807</v>
      </c>
    </row>
    <row r="296" spans="1:16" ht="26.4">
      <c r="A296" s="2297">
        <v>187</v>
      </c>
      <c r="B296" s="2298" t="s">
        <v>1236</v>
      </c>
      <c r="C296" s="2304" t="s">
        <v>1297</v>
      </c>
      <c r="D296" s="2308">
        <f t="shared" si="10"/>
        <v>2015</v>
      </c>
      <c r="E296" s="2300">
        <f>('נספח 1 לטופס 3'!Q14+'נספח 1 לטופס 3'!R14)-('נספח 1 לטופס 3'!S14+'נספח 1 לטופס 3'!T14)</f>
        <v>410</v>
      </c>
      <c r="F296" s="2301" t="s">
        <v>1236</v>
      </c>
      <c r="G296" s="2298" t="s">
        <v>1298</v>
      </c>
      <c r="H296" s="2308">
        <f t="shared" si="49"/>
        <v>2015</v>
      </c>
      <c r="I296" s="2300">
        <f>'נספח 1 לטופס 3'!P14</f>
        <v>410</v>
      </c>
      <c r="J296" s="2302" t="str">
        <f t="shared" si="50"/>
        <v>תקין</v>
      </c>
      <c r="K296" s="2303" t="str">
        <f t="shared" si="51"/>
        <v/>
      </c>
      <c r="L296" s="2729" t="str">
        <f t="shared" ref="L296:L330" si="52">IF(E296&lt;&gt;I296,P296,"")</f>
        <v/>
      </c>
      <c r="M296" s="2746"/>
      <c r="N296" s="2280"/>
      <c r="P296" s="2665" t="s">
        <v>807</v>
      </c>
    </row>
    <row r="297" spans="1:16" ht="26.4">
      <c r="A297" s="2297">
        <v>188</v>
      </c>
      <c r="B297" s="2298" t="s">
        <v>1236</v>
      </c>
      <c r="C297" s="2304" t="s">
        <v>1299</v>
      </c>
      <c r="D297" s="2308">
        <f t="shared" si="10"/>
        <v>2015</v>
      </c>
      <c r="E297" s="2300">
        <f>('נספח 1 לטופס 3'!Q15+'נספח 1 לטופס 3'!R15)-('נספח 1 לטופס 3'!S15+'נספח 1 לטופס 3'!T15)</f>
        <v>21370</v>
      </c>
      <c r="F297" s="2301" t="s">
        <v>1236</v>
      </c>
      <c r="G297" s="2298" t="s">
        <v>1300</v>
      </c>
      <c r="H297" s="2308">
        <f t="shared" si="49"/>
        <v>2015</v>
      </c>
      <c r="I297" s="2300">
        <f>'נספח 1 לטופס 3'!P15</f>
        <v>21370</v>
      </c>
      <c r="J297" s="2302" t="str">
        <f t="shared" si="50"/>
        <v>תקין</v>
      </c>
      <c r="K297" s="2303" t="str">
        <f t="shared" si="51"/>
        <v/>
      </c>
      <c r="L297" s="2729" t="str">
        <f t="shared" si="52"/>
        <v/>
      </c>
      <c r="M297" s="2746"/>
      <c r="N297" s="2280"/>
      <c r="P297" s="2665" t="s">
        <v>807</v>
      </c>
    </row>
    <row r="298" spans="1:16" ht="26.4">
      <c r="A298" s="2297">
        <v>189</v>
      </c>
      <c r="B298" s="2298" t="s">
        <v>1236</v>
      </c>
      <c r="C298" s="2304" t="s">
        <v>1301</v>
      </c>
      <c r="D298" s="2308">
        <f t="shared" si="10"/>
        <v>2015</v>
      </c>
      <c r="E298" s="2300">
        <f>('נספח 1 לטופס 3'!Q16+'נספח 1 לטופס 3'!R16)-('נספח 1 לטופס 3'!S16+'נספח 1 לטופס 3'!T16)</f>
        <v>139060</v>
      </c>
      <c r="F298" s="2301" t="s">
        <v>1236</v>
      </c>
      <c r="G298" s="2298" t="s">
        <v>1302</v>
      </c>
      <c r="H298" s="2308">
        <f t="shared" si="49"/>
        <v>2015</v>
      </c>
      <c r="I298" s="2300">
        <f>'נספח 1 לטופס 3'!P16</f>
        <v>139060</v>
      </c>
      <c r="J298" s="2302" t="str">
        <f t="shared" si="50"/>
        <v>תקין</v>
      </c>
      <c r="K298" s="2303" t="str">
        <f t="shared" si="51"/>
        <v/>
      </c>
      <c r="L298" s="2729" t="str">
        <f t="shared" si="52"/>
        <v/>
      </c>
      <c r="M298" s="2746"/>
      <c r="N298" s="2280"/>
      <c r="P298" s="2665" t="s">
        <v>807</v>
      </c>
    </row>
    <row r="299" spans="1:16" ht="26.4">
      <c r="A299" s="2297">
        <v>190</v>
      </c>
      <c r="B299" s="2298" t="s">
        <v>1236</v>
      </c>
      <c r="C299" s="2304" t="s">
        <v>1303</v>
      </c>
      <c r="D299" s="2308">
        <f t="shared" si="10"/>
        <v>2015</v>
      </c>
      <c r="E299" s="2300">
        <f>('נספח 1 לטופס 3'!Q17+'נספח 1 לטופס 3'!R17)-('נספח 1 לטופס 3'!S17+'נספח 1 לטופס 3'!T17)</f>
        <v>0</v>
      </c>
      <c r="F299" s="2301" t="s">
        <v>1236</v>
      </c>
      <c r="G299" s="2298" t="s">
        <v>1304</v>
      </c>
      <c r="H299" s="2308">
        <f t="shared" si="49"/>
        <v>2015</v>
      </c>
      <c r="I299" s="2300">
        <f>'נספח 1 לטופס 3'!P17</f>
        <v>0</v>
      </c>
      <c r="J299" s="2302" t="str">
        <f t="shared" ref="J299:J330" si="53">IF(E299=I299,$B$3,"")</f>
        <v>תקין</v>
      </c>
      <c r="K299" s="2303" t="str">
        <f t="shared" ref="K299:K330" si="54">IF(E299&lt;&gt;I299,E299-I299,"")</f>
        <v/>
      </c>
      <c r="L299" s="2729" t="str">
        <f t="shared" si="52"/>
        <v/>
      </c>
      <c r="M299" s="2746"/>
      <c r="N299" s="2280"/>
      <c r="P299" s="2665" t="s">
        <v>807</v>
      </c>
    </row>
    <row r="300" spans="1:16" ht="26.4">
      <c r="A300" s="2297">
        <v>191</v>
      </c>
      <c r="B300" s="2298" t="s">
        <v>1236</v>
      </c>
      <c r="C300" s="2304" t="s">
        <v>1305</v>
      </c>
      <c r="D300" s="2308">
        <f t="shared" si="10"/>
        <v>2015</v>
      </c>
      <c r="E300" s="2300">
        <f>('נספח 1 לטופס 3'!Q18+'נספח 1 לטופס 3'!R18)-('נספח 1 לטופס 3'!S18+'נספח 1 לטופס 3'!T18)</f>
        <v>5655</v>
      </c>
      <c r="F300" s="2301" t="s">
        <v>1236</v>
      </c>
      <c r="G300" s="2298" t="s">
        <v>1309</v>
      </c>
      <c r="H300" s="2308">
        <f t="shared" si="49"/>
        <v>2015</v>
      </c>
      <c r="I300" s="2300">
        <f>'נספח 1 לטופס 3'!P18</f>
        <v>5655</v>
      </c>
      <c r="J300" s="2302" t="str">
        <f t="shared" si="53"/>
        <v>תקין</v>
      </c>
      <c r="K300" s="2303" t="str">
        <f t="shared" si="54"/>
        <v/>
      </c>
      <c r="L300" s="2729" t="str">
        <f t="shared" si="52"/>
        <v/>
      </c>
      <c r="M300" s="2746"/>
      <c r="N300" s="2280"/>
      <c r="P300" s="2665" t="s">
        <v>807</v>
      </c>
    </row>
    <row r="301" spans="1:16" ht="26.4">
      <c r="A301" s="2297">
        <v>192</v>
      </c>
      <c r="B301" s="2298" t="s">
        <v>1236</v>
      </c>
      <c r="C301" s="2304" t="s">
        <v>1316</v>
      </c>
      <c r="D301" s="2308">
        <f t="shared" si="10"/>
        <v>2015</v>
      </c>
      <c r="E301" s="2300">
        <f>('נספח 1 לטופס 3'!Q19+'נספח 1 לטופס 3'!R19)-('נספח 1 לטופס 3'!S19+'נספח 1 לטופס 3'!T19)</f>
        <v>0</v>
      </c>
      <c r="F301" s="2301" t="s">
        <v>1236</v>
      </c>
      <c r="G301" s="2298" t="s">
        <v>1317</v>
      </c>
      <c r="H301" s="2308">
        <f t="shared" si="49"/>
        <v>2015</v>
      </c>
      <c r="I301" s="2300">
        <f>'נספח 1 לטופס 3'!P19</f>
        <v>0</v>
      </c>
      <c r="J301" s="2302" t="str">
        <f t="shared" si="53"/>
        <v>תקין</v>
      </c>
      <c r="K301" s="2303" t="str">
        <f t="shared" si="54"/>
        <v/>
      </c>
      <c r="L301" s="2729" t="str">
        <f t="shared" si="52"/>
        <v/>
      </c>
      <c r="M301" s="2746"/>
      <c r="N301" s="2280"/>
      <c r="P301" s="2665" t="s">
        <v>807</v>
      </c>
    </row>
    <row r="302" spans="1:16" ht="26.4">
      <c r="A302" s="2297">
        <v>193</v>
      </c>
      <c r="B302" s="2298" t="s">
        <v>1236</v>
      </c>
      <c r="C302" s="2304" t="s">
        <v>1318</v>
      </c>
      <c r="D302" s="2308">
        <f t="shared" si="10"/>
        <v>2015</v>
      </c>
      <c r="E302" s="2300">
        <f>('נספח 1 לטופס 3'!Q20+'נספח 1 לטופס 3'!R20)-('נספח 1 לטופס 3'!S20+'נספח 1 לטופס 3'!T20)</f>
        <v>0</v>
      </c>
      <c r="F302" s="2301" t="s">
        <v>1236</v>
      </c>
      <c r="G302" s="2298" t="s">
        <v>1319</v>
      </c>
      <c r="H302" s="2308">
        <f t="shared" si="49"/>
        <v>2015</v>
      </c>
      <c r="I302" s="2300">
        <f>'נספח 1 לטופס 3'!P20</f>
        <v>0</v>
      </c>
      <c r="J302" s="2302" t="str">
        <f t="shared" si="53"/>
        <v>תקין</v>
      </c>
      <c r="K302" s="2303" t="str">
        <f t="shared" si="54"/>
        <v/>
      </c>
      <c r="L302" s="2729" t="str">
        <f t="shared" si="52"/>
        <v/>
      </c>
      <c r="M302" s="2746"/>
      <c r="N302" s="2280"/>
      <c r="P302" s="2665" t="s">
        <v>807</v>
      </c>
    </row>
    <row r="303" spans="1:16" ht="26.4">
      <c r="A303" s="2297">
        <v>194</v>
      </c>
      <c r="B303" s="2298" t="s">
        <v>1236</v>
      </c>
      <c r="C303" s="2304" t="s">
        <v>1320</v>
      </c>
      <c r="D303" s="2308">
        <f t="shared" si="10"/>
        <v>2015</v>
      </c>
      <c r="E303" s="2300">
        <f>('נספח 1 לטופס 3'!Q21+'נספח 1 לטופס 3'!R21)-('נספח 1 לטופס 3'!S21+'נספח 1 לטופס 3'!T21)</f>
        <v>0</v>
      </c>
      <c r="F303" s="2301" t="s">
        <v>1236</v>
      </c>
      <c r="G303" s="2298" t="s">
        <v>1321</v>
      </c>
      <c r="H303" s="2308">
        <f t="shared" si="49"/>
        <v>2015</v>
      </c>
      <c r="I303" s="2300">
        <f>'נספח 1 לטופס 3'!P21</f>
        <v>0</v>
      </c>
      <c r="J303" s="2302" t="str">
        <f t="shared" si="53"/>
        <v>תקין</v>
      </c>
      <c r="K303" s="2303" t="str">
        <f t="shared" si="54"/>
        <v/>
      </c>
      <c r="L303" s="2729" t="str">
        <f t="shared" si="52"/>
        <v/>
      </c>
      <c r="M303" s="2746"/>
      <c r="N303" s="2280"/>
      <c r="P303" s="2665" t="s">
        <v>807</v>
      </c>
    </row>
    <row r="304" spans="1:16" ht="26.4">
      <c r="A304" s="2297">
        <v>195</v>
      </c>
      <c r="B304" s="2298" t="s">
        <v>1236</v>
      </c>
      <c r="C304" s="2304" t="s">
        <v>1322</v>
      </c>
      <c r="D304" s="2308">
        <f t="shared" si="10"/>
        <v>2015</v>
      </c>
      <c r="E304" s="2300">
        <f>('נספח 1 לטופס 3'!Q22+'נספח 1 לטופס 3'!R22)-('נספח 1 לטופס 3'!S22+'נספח 1 לטופס 3'!T22)</f>
        <v>23171</v>
      </c>
      <c r="F304" s="2301" t="s">
        <v>1236</v>
      </c>
      <c r="G304" s="2298" t="s">
        <v>1323</v>
      </c>
      <c r="H304" s="2308">
        <f t="shared" si="49"/>
        <v>2015</v>
      </c>
      <c r="I304" s="2300">
        <f>'נספח 1 לטופס 3'!P22</f>
        <v>23171</v>
      </c>
      <c r="J304" s="2302" t="str">
        <f t="shared" si="53"/>
        <v>תקין</v>
      </c>
      <c r="K304" s="2303" t="str">
        <f t="shared" si="54"/>
        <v/>
      </c>
      <c r="L304" s="2729" t="str">
        <f t="shared" si="52"/>
        <v/>
      </c>
      <c r="M304" s="2746"/>
      <c r="N304" s="2280"/>
      <c r="P304" s="2665" t="s">
        <v>807</v>
      </c>
    </row>
    <row r="305" spans="1:16" ht="26.4">
      <c r="A305" s="2297">
        <v>196</v>
      </c>
      <c r="B305" s="2298" t="s">
        <v>1236</v>
      </c>
      <c r="C305" s="2304" t="s">
        <v>1324</v>
      </c>
      <c r="D305" s="2308">
        <f t="shared" si="10"/>
        <v>2015</v>
      </c>
      <c r="E305" s="2300">
        <f>('נספח 1 לטופס 3'!Q23+'נספח 1 לטופס 3'!R23)-('נספח 1 לטופס 3'!S23+'נספח 1 לטופס 3'!T23)</f>
        <v>11417</v>
      </c>
      <c r="F305" s="2301" t="s">
        <v>1236</v>
      </c>
      <c r="G305" s="2298" t="s">
        <v>1325</v>
      </c>
      <c r="H305" s="2308">
        <f t="shared" si="49"/>
        <v>2015</v>
      </c>
      <c r="I305" s="2300">
        <f>'נספח 1 לטופס 3'!P23</f>
        <v>11417</v>
      </c>
      <c r="J305" s="2302" t="str">
        <f t="shared" si="53"/>
        <v>תקין</v>
      </c>
      <c r="K305" s="2303" t="str">
        <f t="shared" si="54"/>
        <v/>
      </c>
      <c r="L305" s="2729" t="str">
        <f t="shared" si="52"/>
        <v/>
      </c>
      <c r="M305" s="2746"/>
      <c r="N305" s="2280"/>
      <c r="P305" s="2665" t="s">
        <v>807</v>
      </c>
    </row>
    <row r="306" spans="1:16" ht="26.4">
      <c r="A306" s="2297">
        <v>197</v>
      </c>
      <c r="B306" s="2298" t="s">
        <v>1236</v>
      </c>
      <c r="C306" s="2304" t="s">
        <v>1326</v>
      </c>
      <c r="D306" s="2308">
        <f t="shared" si="10"/>
        <v>2015</v>
      </c>
      <c r="E306" s="2300">
        <f>('נספח 1 לטופס 3'!Q24+'נספח 1 לטופס 3'!R24)-('נספח 1 לטופס 3'!S24+'נספח 1 לטופס 3'!T24)</f>
        <v>0</v>
      </c>
      <c r="F306" s="2301" t="s">
        <v>1236</v>
      </c>
      <c r="G306" s="2298" t="s">
        <v>1327</v>
      </c>
      <c r="H306" s="2308">
        <f t="shared" si="49"/>
        <v>2015</v>
      </c>
      <c r="I306" s="2300">
        <f>'נספח 1 לטופס 3'!P24</f>
        <v>0</v>
      </c>
      <c r="J306" s="2302" t="str">
        <f t="shared" si="53"/>
        <v>תקין</v>
      </c>
      <c r="K306" s="2303" t="str">
        <f t="shared" si="54"/>
        <v/>
      </c>
      <c r="L306" s="2729" t="str">
        <f t="shared" si="52"/>
        <v/>
      </c>
      <c r="M306" s="2746"/>
      <c r="N306" s="2280"/>
      <c r="P306" s="2665" t="s">
        <v>807</v>
      </c>
    </row>
    <row r="307" spans="1:16" ht="26.4">
      <c r="A307" s="2297">
        <v>198</v>
      </c>
      <c r="B307" s="2298" t="s">
        <v>1236</v>
      </c>
      <c r="C307" s="2304" t="s">
        <v>1328</v>
      </c>
      <c r="D307" s="2308">
        <f t="shared" si="10"/>
        <v>2015</v>
      </c>
      <c r="E307" s="2300">
        <f>('נספח 1 לטופס 3'!Q25+'נספח 1 לטופס 3'!R25)-('נספח 1 לטופס 3'!S25+'נספח 1 לטופס 3'!T25)</f>
        <v>1413</v>
      </c>
      <c r="F307" s="2301" t="s">
        <v>1236</v>
      </c>
      <c r="G307" s="2298" t="s">
        <v>1329</v>
      </c>
      <c r="H307" s="2308">
        <f t="shared" si="49"/>
        <v>2015</v>
      </c>
      <c r="I307" s="2300">
        <f>'נספח 1 לטופס 3'!P25</f>
        <v>1413</v>
      </c>
      <c r="J307" s="2302" t="str">
        <f t="shared" si="53"/>
        <v>תקין</v>
      </c>
      <c r="K307" s="2303" t="str">
        <f t="shared" si="54"/>
        <v/>
      </c>
      <c r="L307" s="2729" t="str">
        <f t="shared" si="52"/>
        <v/>
      </c>
      <c r="M307" s="2746"/>
      <c r="N307" s="2280"/>
      <c r="P307" s="2665" t="s">
        <v>807</v>
      </c>
    </row>
    <row r="308" spans="1:16" ht="26.4">
      <c r="A308" s="2297">
        <v>199</v>
      </c>
      <c r="B308" s="2298" t="s">
        <v>1236</v>
      </c>
      <c r="C308" s="2304" t="s">
        <v>1330</v>
      </c>
      <c r="D308" s="2308">
        <f t="shared" si="10"/>
        <v>2015</v>
      </c>
      <c r="E308" s="2300">
        <f>('נספח 1 לטופס 3'!Q26+'נספח 1 לטופס 3'!R26)-('נספח 1 לטופס 3'!S26+'נספח 1 לטופס 3'!T26)</f>
        <v>-887</v>
      </c>
      <c r="F308" s="2301" t="s">
        <v>1236</v>
      </c>
      <c r="G308" s="2298" t="s">
        <v>1331</v>
      </c>
      <c r="H308" s="2308">
        <f t="shared" si="49"/>
        <v>2015</v>
      </c>
      <c r="I308" s="2300">
        <f>'נספח 1 לטופס 3'!P26</f>
        <v>-887</v>
      </c>
      <c r="J308" s="2302" t="str">
        <f t="shared" si="53"/>
        <v>תקין</v>
      </c>
      <c r="K308" s="2303" t="str">
        <f t="shared" si="54"/>
        <v/>
      </c>
      <c r="L308" s="2729" t="str">
        <f t="shared" si="52"/>
        <v/>
      </c>
      <c r="M308" s="2746"/>
      <c r="N308" s="2280"/>
      <c r="P308" s="2665" t="s">
        <v>807</v>
      </c>
    </row>
    <row r="309" spans="1:16" ht="26.4">
      <c r="A309" s="2297">
        <v>200</v>
      </c>
      <c r="B309" s="2298" t="s">
        <v>1236</v>
      </c>
      <c r="C309" s="2304" t="s">
        <v>1332</v>
      </c>
      <c r="D309" s="2308">
        <f t="shared" si="10"/>
        <v>2015</v>
      </c>
      <c r="E309" s="2300">
        <f>('נספח 1 לטופס 3'!Q27+'נספח 1 לטופס 3'!R27)-('נספח 1 לטופס 3'!S27+'נספח 1 לטופס 3'!T27)</f>
        <v>0</v>
      </c>
      <c r="F309" s="2301" t="s">
        <v>1236</v>
      </c>
      <c r="G309" s="2298" t="s">
        <v>1333</v>
      </c>
      <c r="H309" s="2308">
        <f t="shared" si="49"/>
        <v>2015</v>
      </c>
      <c r="I309" s="2300">
        <f>'נספח 1 לטופס 3'!P27</f>
        <v>0</v>
      </c>
      <c r="J309" s="2302" t="str">
        <f t="shared" si="53"/>
        <v>תקין</v>
      </c>
      <c r="K309" s="2303" t="str">
        <f t="shared" si="54"/>
        <v/>
      </c>
      <c r="L309" s="2729" t="str">
        <f t="shared" si="52"/>
        <v/>
      </c>
      <c r="M309" s="2746"/>
      <c r="N309" s="2280"/>
      <c r="P309" s="2665" t="s">
        <v>807</v>
      </c>
    </row>
    <row r="310" spans="1:16" ht="26.4">
      <c r="A310" s="2297">
        <v>201</v>
      </c>
      <c r="B310" s="2298" t="s">
        <v>1236</v>
      </c>
      <c r="C310" s="2304" t="s">
        <v>1334</v>
      </c>
      <c r="D310" s="2308">
        <f t="shared" si="10"/>
        <v>2015</v>
      </c>
      <c r="E310" s="2300">
        <f>('נספח 1 לטופס 3'!Q28+'נספח 1 לטופס 3'!R28)-('נספח 1 לטופס 3'!S28+'נספח 1 לטופס 3'!T28)</f>
        <v>-1934</v>
      </c>
      <c r="F310" s="2301" t="s">
        <v>1236</v>
      </c>
      <c r="G310" s="2298" t="s">
        <v>1335</v>
      </c>
      <c r="H310" s="2308">
        <f t="shared" si="49"/>
        <v>2015</v>
      </c>
      <c r="I310" s="2300">
        <f>'נספח 1 לטופס 3'!P28</f>
        <v>-1934</v>
      </c>
      <c r="J310" s="2302" t="str">
        <f t="shared" si="53"/>
        <v>תקין</v>
      </c>
      <c r="K310" s="2303" t="str">
        <f t="shared" si="54"/>
        <v/>
      </c>
      <c r="L310" s="2729" t="str">
        <f t="shared" si="52"/>
        <v/>
      </c>
      <c r="M310" s="2746"/>
      <c r="N310" s="2280"/>
      <c r="P310" s="2665" t="s">
        <v>807</v>
      </c>
    </row>
    <row r="311" spans="1:16" ht="26.4">
      <c r="A311" s="2297">
        <v>202</v>
      </c>
      <c r="B311" s="2298" t="s">
        <v>1236</v>
      </c>
      <c r="C311" s="2304" t="s">
        <v>1336</v>
      </c>
      <c r="D311" s="2308">
        <f t="shared" si="10"/>
        <v>2015</v>
      </c>
      <c r="E311" s="2300">
        <f>('נספח 1 לטופס 3'!Q29+'נספח 1 לטופס 3'!R29)-('נספח 1 לטופס 3'!S29+'נספח 1 לטופס 3'!T29)</f>
        <v>0</v>
      </c>
      <c r="F311" s="2301" t="s">
        <v>1236</v>
      </c>
      <c r="G311" s="2298" t="s">
        <v>1337</v>
      </c>
      <c r="H311" s="2308">
        <f t="shared" si="49"/>
        <v>2015</v>
      </c>
      <c r="I311" s="2300">
        <f>'נספח 1 לטופס 3'!P29</f>
        <v>0</v>
      </c>
      <c r="J311" s="2302" t="str">
        <f t="shared" si="53"/>
        <v>תקין</v>
      </c>
      <c r="K311" s="2303" t="str">
        <f t="shared" si="54"/>
        <v/>
      </c>
      <c r="L311" s="2729" t="str">
        <f t="shared" si="52"/>
        <v/>
      </c>
      <c r="M311" s="2746"/>
      <c r="N311" s="2280"/>
      <c r="P311" s="2665" t="s">
        <v>807</v>
      </c>
    </row>
    <row r="312" spans="1:16" ht="26.4">
      <c r="A312" s="2297">
        <v>203</v>
      </c>
      <c r="B312" s="2298" t="s">
        <v>1236</v>
      </c>
      <c r="C312" s="2304" t="s">
        <v>1338</v>
      </c>
      <c r="D312" s="2308">
        <f t="shared" si="10"/>
        <v>2015</v>
      </c>
      <c r="E312" s="2300">
        <f>('נספח 1 לטופס 3'!Q30+'נספח 1 לטופס 3'!R30)-('נספח 1 לטופס 3'!S30+'נספח 1 לטופס 3'!T30)</f>
        <v>0</v>
      </c>
      <c r="F312" s="2301" t="s">
        <v>1236</v>
      </c>
      <c r="G312" s="2298" t="s">
        <v>1339</v>
      </c>
      <c r="H312" s="2308">
        <f t="shared" si="49"/>
        <v>2015</v>
      </c>
      <c r="I312" s="2300">
        <f>'נספח 1 לטופס 3'!P30</f>
        <v>0</v>
      </c>
      <c r="J312" s="2302" t="str">
        <f t="shared" si="53"/>
        <v>תקין</v>
      </c>
      <c r="K312" s="2303" t="str">
        <f t="shared" si="54"/>
        <v/>
      </c>
      <c r="L312" s="2729" t="str">
        <f t="shared" si="52"/>
        <v/>
      </c>
      <c r="M312" s="2746"/>
      <c r="N312" s="2280"/>
      <c r="P312" s="2665" t="s">
        <v>807</v>
      </c>
    </row>
    <row r="313" spans="1:16" ht="26.4">
      <c r="A313" s="2297">
        <v>204</v>
      </c>
      <c r="B313" s="2298" t="s">
        <v>1236</v>
      </c>
      <c r="C313" s="2304" t="s">
        <v>1340</v>
      </c>
      <c r="D313" s="2308">
        <f t="shared" si="10"/>
        <v>2015</v>
      </c>
      <c r="E313" s="2300">
        <f>('נספח 1 לטופס 3'!Q31+'נספח 1 לטופס 3'!R31)-('נספח 1 לטופס 3'!S31+'נספח 1 לטופס 3'!T31)</f>
        <v>70191</v>
      </c>
      <c r="F313" s="2301" t="s">
        <v>1236</v>
      </c>
      <c r="G313" s="2298" t="s">
        <v>1341</v>
      </c>
      <c r="H313" s="2308">
        <f t="shared" si="49"/>
        <v>2015</v>
      </c>
      <c r="I313" s="2300">
        <f>'נספח 1 לטופס 3'!P31</f>
        <v>70191</v>
      </c>
      <c r="J313" s="2302" t="str">
        <f t="shared" si="53"/>
        <v>תקין</v>
      </c>
      <c r="K313" s="2303" t="str">
        <f t="shared" si="54"/>
        <v/>
      </c>
      <c r="L313" s="2729" t="str">
        <f t="shared" si="52"/>
        <v/>
      </c>
      <c r="M313" s="2746"/>
      <c r="N313" s="2280"/>
      <c r="P313" s="2665" t="s">
        <v>807</v>
      </c>
    </row>
    <row r="314" spans="1:16" ht="26.4">
      <c r="A314" s="2297">
        <v>205</v>
      </c>
      <c r="B314" s="2298" t="s">
        <v>1236</v>
      </c>
      <c r="C314" s="2304" t="s">
        <v>1342</v>
      </c>
      <c r="D314" s="2308">
        <f t="shared" si="10"/>
        <v>2015</v>
      </c>
      <c r="E314" s="2300">
        <f>('נספח 1 לטופס 3'!Q32+'נספח 1 לטופס 3'!R32)-('נספח 1 לטופס 3'!S32+'נספח 1 לטופס 3'!T32)</f>
        <v>0</v>
      </c>
      <c r="F314" s="2301" t="s">
        <v>1236</v>
      </c>
      <c r="G314" s="2298" t="s">
        <v>1343</v>
      </c>
      <c r="H314" s="2308">
        <f t="shared" si="49"/>
        <v>2015</v>
      </c>
      <c r="I314" s="2300">
        <f>'נספח 1 לטופס 3'!P32</f>
        <v>0</v>
      </c>
      <c r="J314" s="2302" t="str">
        <f t="shared" si="53"/>
        <v>תקין</v>
      </c>
      <c r="K314" s="2303" t="str">
        <f t="shared" si="54"/>
        <v/>
      </c>
      <c r="L314" s="2729" t="str">
        <f t="shared" si="52"/>
        <v/>
      </c>
      <c r="M314" s="2746"/>
      <c r="N314" s="2280"/>
      <c r="P314" s="2665" t="s">
        <v>807</v>
      </c>
    </row>
    <row r="315" spans="1:16" ht="26.4">
      <c r="A315" s="2297">
        <v>206</v>
      </c>
      <c r="B315" s="2298" t="s">
        <v>1236</v>
      </c>
      <c r="C315" s="2304" t="s">
        <v>1344</v>
      </c>
      <c r="D315" s="2308">
        <f t="shared" si="10"/>
        <v>2015</v>
      </c>
      <c r="E315" s="2300">
        <f>('נספח 1 לטופס 3'!Q33+'נספח 1 לטופס 3'!R33)-('נספח 1 לטופס 3'!S33+'נספח 1 לטופס 3'!T33)</f>
        <v>0</v>
      </c>
      <c r="F315" s="2301" t="s">
        <v>1236</v>
      </c>
      <c r="G315" s="2298" t="s">
        <v>1345</v>
      </c>
      <c r="H315" s="2308">
        <f t="shared" si="49"/>
        <v>2015</v>
      </c>
      <c r="I315" s="2300">
        <f>'נספח 1 לטופס 3'!P33</f>
        <v>0</v>
      </c>
      <c r="J315" s="2302" t="str">
        <f t="shared" si="53"/>
        <v>תקין</v>
      </c>
      <c r="K315" s="2303" t="str">
        <f t="shared" si="54"/>
        <v/>
      </c>
      <c r="L315" s="2729" t="str">
        <f t="shared" si="52"/>
        <v/>
      </c>
      <c r="M315" s="2746"/>
      <c r="N315" s="2280"/>
      <c r="P315" s="2665" t="s">
        <v>807</v>
      </c>
    </row>
    <row r="316" spans="1:16" ht="26.4">
      <c r="A316" s="2297">
        <v>207</v>
      </c>
      <c r="B316" s="2298" t="s">
        <v>1236</v>
      </c>
      <c r="C316" s="2304" t="s">
        <v>1346</v>
      </c>
      <c r="D316" s="2308">
        <f t="shared" si="10"/>
        <v>2015</v>
      </c>
      <c r="E316" s="2300">
        <f>('נספח 1 לטופס 3'!Q34+'נספח 1 לטופס 3'!R34)-('נספח 1 לטופס 3'!S34+'נספח 1 לטופס 3'!T34)</f>
        <v>0</v>
      </c>
      <c r="F316" s="2301" t="s">
        <v>1236</v>
      </c>
      <c r="G316" s="2298" t="s">
        <v>1347</v>
      </c>
      <c r="H316" s="2308">
        <f t="shared" si="49"/>
        <v>2015</v>
      </c>
      <c r="I316" s="2300">
        <f>'נספח 1 לטופס 3'!P34</f>
        <v>0</v>
      </c>
      <c r="J316" s="2302" t="str">
        <f t="shared" si="53"/>
        <v>תקין</v>
      </c>
      <c r="K316" s="2303" t="str">
        <f t="shared" si="54"/>
        <v/>
      </c>
      <c r="L316" s="2729" t="str">
        <f t="shared" si="52"/>
        <v/>
      </c>
      <c r="M316" s="2746"/>
      <c r="N316" s="2280"/>
      <c r="P316" s="2665" t="s">
        <v>807</v>
      </c>
    </row>
    <row r="317" spans="1:16" ht="26.4">
      <c r="A317" s="2297">
        <v>208</v>
      </c>
      <c r="B317" s="2298" t="s">
        <v>1236</v>
      </c>
      <c r="C317" s="2304" t="s">
        <v>1348</v>
      </c>
      <c r="D317" s="2308">
        <f t="shared" si="10"/>
        <v>2015</v>
      </c>
      <c r="E317" s="2300">
        <f>('נספח 1 לטופס 3'!Q35+'נספח 1 לטופס 3'!R35)-('נספח 1 לטופס 3'!S35+'נספח 1 לטופס 3'!T35)</f>
        <v>1335</v>
      </c>
      <c r="F317" s="2301" t="s">
        <v>1236</v>
      </c>
      <c r="G317" s="2298" t="s">
        <v>1349</v>
      </c>
      <c r="H317" s="2308">
        <f t="shared" si="49"/>
        <v>2015</v>
      </c>
      <c r="I317" s="2300">
        <f>'נספח 1 לטופס 3'!P35</f>
        <v>1335</v>
      </c>
      <c r="J317" s="2302" t="str">
        <f t="shared" si="53"/>
        <v>תקין</v>
      </c>
      <c r="K317" s="2303" t="str">
        <f t="shared" si="54"/>
        <v/>
      </c>
      <c r="L317" s="2729" t="str">
        <f t="shared" si="52"/>
        <v/>
      </c>
      <c r="M317" s="2746"/>
      <c r="N317" s="2280"/>
      <c r="P317" s="2665" t="s">
        <v>807</v>
      </c>
    </row>
    <row r="318" spans="1:16" ht="26.4">
      <c r="A318" s="2297">
        <v>209</v>
      </c>
      <c r="B318" s="2298" t="s">
        <v>1236</v>
      </c>
      <c r="C318" s="2304" t="s">
        <v>1350</v>
      </c>
      <c r="D318" s="2308">
        <f t="shared" si="10"/>
        <v>2015</v>
      </c>
      <c r="E318" s="2300">
        <f>('נספח 1 לטופס 3'!Q36+'נספח 1 לטופס 3'!R36)-('נספח 1 לטופס 3'!S36+'נספח 1 לטופס 3'!T36)</f>
        <v>0</v>
      </c>
      <c r="F318" s="2301" t="s">
        <v>1236</v>
      </c>
      <c r="G318" s="2298" t="s">
        <v>1351</v>
      </c>
      <c r="H318" s="2308">
        <f t="shared" si="49"/>
        <v>2015</v>
      </c>
      <c r="I318" s="2300">
        <f>'נספח 1 לטופס 3'!P36</f>
        <v>0</v>
      </c>
      <c r="J318" s="2302" t="str">
        <f t="shared" si="53"/>
        <v>תקין</v>
      </c>
      <c r="K318" s="2303" t="str">
        <f t="shared" si="54"/>
        <v/>
      </c>
      <c r="L318" s="2729" t="str">
        <f t="shared" si="52"/>
        <v/>
      </c>
      <c r="M318" s="2746"/>
      <c r="N318" s="2280"/>
      <c r="P318" s="2665" t="s">
        <v>807</v>
      </c>
    </row>
    <row r="319" spans="1:16" ht="26.4">
      <c r="A319" s="2297">
        <v>210</v>
      </c>
      <c r="B319" s="2298" t="s">
        <v>1236</v>
      </c>
      <c r="C319" s="2304" t="s">
        <v>1352</v>
      </c>
      <c r="D319" s="2308">
        <f t="shared" si="10"/>
        <v>2015</v>
      </c>
      <c r="E319" s="2300">
        <f>('נספח 1 לטופס 3'!Q37+'נספח 1 לטופס 3'!R37)-('נספח 1 לטופס 3'!S37+'נספח 1 לטופס 3'!T37)</f>
        <v>0</v>
      </c>
      <c r="F319" s="2301" t="s">
        <v>1236</v>
      </c>
      <c r="G319" s="2298" t="s">
        <v>1353</v>
      </c>
      <c r="H319" s="2308">
        <f t="shared" si="49"/>
        <v>2015</v>
      </c>
      <c r="I319" s="2300">
        <f>'נספח 1 לטופס 3'!P37</f>
        <v>0</v>
      </c>
      <c r="J319" s="2302" t="str">
        <f t="shared" si="53"/>
        <v>תקין</v>
      </c>
      <c r="K319" s="2303" t="str">
        <f t="shared" si="54"/>
        <v/>
      </c>
      <c r="L319" s="2729" t="str">
        <f t="shared" si="52"/>
        <v/>
      </c>
      <c r="M319" s="2746"/>
      <c r="N319" s="2280"/>
      <c r="P319" s="2665" t="s">
        <v>807</v>
      </c>
    </row>
    <row r="320" spans="1:16" ht="20.399999999999999">
      <c r="A320" s="2297">
        <v>211</v>
      </c>
      <c r="B320" s="2298" t="s">
        <v>1236</v>
      </c>
      <c r="C320" s="2304" t="str">
        <f>'נספח 1 לטופס 3'!E38</f>
        <v>(***)</v>
      </c>
      <c r="D320" s="2308">
        <f t="shared" si="10"/>
        <v>2015</v>
      </c>
      <c r="E320" s="2300">
        <f>('נספח 1 לטופס 3'!Q38+'נספח 1 לטופס 3'!R38)-('נספח 1 לטופס 3'!S38+'נספח 1 לטופס 3'!T38)</f>
        <v>0</v>
      </c>
      <c r="F320" s="2301" t="s">
        <v>1236</v>
      </c>
      <c r="G320" s="2298" t="s">
        <v>1354</v>
      </c>
      <c r="H320" s="2308">
        <f t="shared" si="49"/>
        <v>2015</v>
      </c>
      <c r="I320" s="2300">
        <f>'נספח 1 לטופס 3'!P38</f>
        <v>0</v>
      </c>
      <c r="J320" s="2302" t="str">
        <f>IF(E320=I320,$B$3,"")</f>
        <v>תקין</v>
      </c>
      <c r="K320" s="2303" t="str">
        <f>IF(E320&lt;&gt;I320,E320-I320,"")</f>
        <v/>
      </c>
      <c r="L320" s="2729" t="str">
        <f>IF(E320&lt;&gt;I320,P320,"")</f>
        <v/>
      </c>
      <c r="M320" s="2746"/>
      <c r="N320" s="2280"/>
      <c r="P320" s="2665" t="s">
        <v>807</v>
      </c>
    </row>
    <row r="321" spans="1:16">
      <c r="A321" s="2961">
        <v>212</v>
      </c>
      <c r="B321" s="2298" t="s">
        <v>1236</v>
      </c>
      <c r="C321" s="2304" t="s">
        <v>1578</v>
      </c>
      <c r="D321" s="2308">
        <f t="shared" si="10"/>
        <v>2015</v>
      </c>
      <c r="E321" s="2300">
        <f>'נספח 1 לטופס 3'!$G$41</f>
        <v>1698344</v>
      </c>
      <c r="F321" s="2298" t="s">
        <v>1236</v>
      </c>
      <c r="G321" s="2298" t="s">
        <v>1579</v>
      </c>
      <c r="H321" s="2308">
        <f t="shared" si="49"/>
        <v>2015</v>
      </c>
      <c r="I321" s="2300">
        <f>'נספח 1 לטופס 3'!$L$41</f>
        <v>1406538</v>
      </c>
      <c r="J321" s="2651"/>
      <c r="K321" s="2303"/>
      <c r="L321" s="2729"/>
      <c r="M321" s="2746"/>
      <c r="N321" s="2280"/>
    </row>
    <row r="322" spans="1:16" ht="26.4">
      <c r="A322" s="2297"/>
      <c r="B322" s="2298"/>
      <c r="C322" s="2304"/>
      <c r="D322" s="2308"/>
      <c r="E322" s="2300"/>
      <c r="F322" s="2298" t="s">
        <v>1236</v>
      </c>
      <c r="G322" s="2298" t="s">
        <v>1580</v>
      </c>
      <c r="H322" s="2308">
        <f t="shared" si="49"/>
        <v>2015</v>
      </c>
      <c r="I322" s="2300">
        <f>'נספח 1 לטופס 3'!$R$41</f>
        <v>291806</v>
      </c>
      <c r="J322" s="2651"/>
      <c r="K322" s="2303"/>
      <c r="L322" s="2729"/>
      <c r="M322" s="2746"/>
      <c r="N322" s="2280"/>
    </row>
    <row r="323" spans="1:16" ht="26.4">
      <c r="A323" s="2297"/>
      <c r="B323" s="2298"/>
      <c r="C323" s="2304"/>
      <c r="D323" s="2308"/>
      <c r="E323" s="2300"/>
      <c r="F323" s="2298" t="s">
        <v>1236</v>
      </c>
      <c r="G323" s="2298" t="s">
        <v>1581</v>
      </c>
      <c r="H323" s="2308">
        <f t="shared" si="49"/>
        <v>2015</v>
      </c>
      <c r="I323" s="2300">
        <f>-'נספח 1 לטופס 3'!$T$41</f>
        <v>0</v>
      </c>
      <c r="J323" s="2651"/>
      <c r="K323" s="2303"/>
      <c r="L323" s="2729"/>
      <c r="M323" s="2746"/>
      <c r="N323" s="2280"/>
    </row>
    <row r="324" spans="1:16" ht="30.6">
      <c r="A324" s="2297"/>
      <c r="B324" s="2298"/>
      <c r="C324" s="2304"/>
      <c r="D324" s="2308"/>
      <c r="E324" s="2300"/>
      <c r="F324" s="2301"/>
      <c r="G324" s="2298" t="s">
        <v>782</v>
      </c>
      <c r="H324" s="2308"/>
      <c r="I324" s="2983">
        <f>SUM(I321:I323)</f>
        <v>1698344</v>
      </c>
      <c r="J324" s="2302" t="str">
        <f>IF(E321=I324,$B$3,"")</f>
        <v>תקין</v>
      </c>
      <c r="K324" s="2303" t="str">
        <f>IF(E321&lt;&gt;I324,E321-I324,"")</f>
        <v/>
      </c>
      <c r="L324" s="2729" t="str">
        <f>IF(E321&lt;&gt;I324,P324,"")</f>
        <v/>
      </c>
      <c r="M324" s="2746"/>
      <c r="N324" s="2280"/>
      <c r="P324" s="2665" t="s">
        <v>1585</v>
      </c>
    </row>
    <row r="325" spans="1:16">
      <c r="A325" s="2961">
        <v>213</v>
      </c>
      <c r="B325" s="2298" t="s">
        <v>1236</v>
      </c>
      <c r="C325" s="2304" t="s">
        <v>1578</v>
      </c>
      <c r="D325" s="2308">
        <f t="shared" si="10"/>
        <v>2015</v>
      </c>
      <c r="E325" s="2300">
        <f>'נספח 1 לטופס 3'!$G$41</f>
        <v>1698344</v>
      </c>
      <c r="F325" s="2298" t="s">
        <v>1236</v>
      </c>
      <c r="G325" s="2298" t="s">
        <v>1582</v>
      </c>
      <c r="H325" s="2308">
        <f t="shared" si="49"/>
        <v>2015</v>
      </c>
      <c r="I325" s="2300">
        <f>'נספח 1 לטופס 3'!$M$41</f>
        <v>1682660</v>
      </c>
      <c r="J325" s="2651"/>
      <c r="K325" s="2303"/>
      <c r="L325" s="2729"/>
      <c r="M325" s="2746"/>
      <c r="N325" s="2280"/>
    </row>
    <row r="326" spans="1:16" ht="26.4">
      <c r="A326" s="2297"/>
      <c r="B326" s="2298"/>
      <c r="C326" s="2304"/>
      <c r="D326" s="2308"/>
      <c r="E326" s="2300"/>
      <c r="F326" s="2298" t="s">
        <v>1236</v>
      </c>
      <c r="G326" s="2298" t="s">
        <v>1583</v>
      </c>
      <c r="H326" s="2308">
        <f t="shared" si="49"/>
        <v>2015</v>
      </c>
      <c r="I326" s="2300">
        <f>'נספח 1 לטופס 3'!$S$41</f>
        <v>15684</v>
      </c>
      <c r="J326" s="2651"/>
      <c r="K326" s="2303"/>
      <c r="L326" s="2729"/>
      <c r="M326" s="2746"/>
      <c r="N326" s="2280"/>
    </row>
    <row r="327" spans="1:16" ht="26.4">
      <c r="A327" s="2297"/>
      <c r="B327" s="2298"/>
      <c r="C327" s="2304"/>
      <c r="D327" s="2308"/>
      <c r="E327" s="2300"/>
      <c r="F327" s="2298" t="s">
        <v>1236</v>
      </c>
      <c r="G327" s="2298" t="s">
        <v>1584</v>
      </c>
      <c r="H327" s="2308">
        <f t="shared" si="49"/>
        <v>2015</v>
      </c>
      <c r="I327" s="2300">
        <f>-'נספח 1 לטופס 3'!$Q$41</f>
        <v>0</v>
      </c>
      <c r="J327" s="2651"/>
      <c r="K327" s="2303"/>
      <c r="L327" s="2729"/>
      <c r="M327" s="2746"/>
      <c r="N327" s="2280"/>
    </row>
    <row r="328" spans="1:16" ht="30.6">
      <c r="A328" s="2297"/>
      <c r="B328" s="2298"/>
      <c r="C328" s="2304"/>
      <c r="D328" s="2308"/>
      <c r="E328" s="2300"/>
      <c r="F328" s="2301"/>
      <c r="G328" s="2298" t="s">
        <v>782</v>
      </c>
      <c r="H328" s="2308"/>
      <c r="I328" s="2983">
        <f>SUM(I325:I327)</f>
        <v>1698344</v>
      </c>
      <c r="J328" s="2302" t="str">
        <f>IF(E325=I328,$B$3,"")</f>
        <v>תקין</v>
      </c>
      <c r="K328" s="2303" t="str">
        <f>IF(E325&lt;&gt;I328,E325-I328,"")</f>
        <v/>
      </c>
      <c r="L328" s="2729" t="str">
        <f>IF(E325&lt;&gt;I328,P328,"")</f>
        <v/>
      </c>
      <c r="M328" s="2746"/>
      <c r="N328" s="2280"/>
      <c r="P328" s="2665" t="s">
        <v>1586</v>
      </c>
    </row>
    <row r="329" spans="1:16" ht="15.6">
      <c r="A329" s="2285"/>
      <c r="B329" s="3720" t="s">
        <v>609</v>
      </c>
      <c r="C329" s="3720"/>
      <c r="D329" s="3720"/>
      <c r="E329" s="3720"/>
      <c r="F329" s="3720"/>
      <c r="G329" s="3720"/>
      <c r="H329" s="3720"/>
      <c r="I329" s="3720"/>
      <c r="J329" s="2335"/>
      <c r="K329" s="2336"/>
      <c r="L329" s="2336"/>
      <c r="M329" s="2747"/>
      <c r="N329" s="2280"/>
    </row>
    <row r="330" spans="1:16" ht="30.6">
      <c r="A330" s="2961">
        <v>214</v>
      </c>
      <c r="B330" s="2965" t="s">
        <v>151</v>
      </c>
      <c r="C330" s="2966" t="s">
        <v>596</v>
      </c>
      <c r="D330" s="2308">
        <f t="shared" si="10"/>
        <v>2015</v>
      </c>
      <c r="E330" s="2962">
        <f>'ספר לבן'!C70</f>
        <v>1464735</v>
      </c>
      <c r="F330" s="3096" t="s">
        <v>151</v>
      </c>
      <c r="G330" s="2965" t="s">
        <v>597</v>
      </c>
      <c r="H330" s="3095">
        <f t="shared" ref="H330:H335" si="55">ShanaKodemet</f>
        <v>2014</v>
      </c>
      <c r="I330" s="2962">
        <f>'ספר לבן'!D73</f>
        <v>1464735</v>
      </c>
      <c r="J330" s="2302" t="str">
        <f t="shared" si="53"/>
        <v>תקין</v>
      </c>
      <c r="K330" s="2303" t="str">
        <f t="shared" si="54"/>
        <v/>
      </c>
      <c r="L330" s="2729" t="str">
        <f t="shared" si="52"/>
        <v/>
      </c>
      <c r="M330" s="2964"/>
      <c r="N330" s="2280"/>
      <c r="P330" s="2665" t="s">
        <v>598</v>
      </c>
    </row>
    <row r="331" spans="1:16" ht="30.6">
      <c r="A331" s="2961">
        <v>215</v>
      </c>
      <c r="B331" s="2965" t="s">
        <v>151</v>
      </c>
      <c r="C331" s="2966" t="s">
        <v>599</v>
      </c>
      <c r="D331" s="2308">
        <f t="shared" si="10"/>
        <v>2015</v>
      </c>
      <c r="E331" s="2962">
        <f>'ספר לבן'!H70</f>
        <v>1338077</v>
      </c>
      <c r="F331" s="3096" t="s">
        <v>151</v>
      </c>
      <c r="G331" s="2965" t="s">
        <v>600</v>
      </c>
      <c r="H331" s="3095">
        <f t="shared" si="55"/>
        <v>2014</v>
      </c>
      <c r="I331" s="2962">
        <f>'ספר לבן'!I73</f>
        <v>1338077</v>
      </c>
      <c r="J331" s="2302" t="str">
        <f>IF(E331=I331,$B$3,"")</f>
        <v>תקין</v>
      </c>
      <c r="K331" s="2303" t="str">
        <f t="shared" ref="K331:K335" si="56">IF(E331&lt;&gt;I331,E331-I331,"")</f>
        <v/>
      </c>
      <c r="L331" s="2729" t="str">
        <f t="shared" ref="L331:L335" si="57">IF(E331&lt;&gt;I331,P331,"")</f>
        <v/>
      </c>
      <c r="M331" s="2964"/>
      <c r="N331" s="2280"/>
      <c r="P331" s="2665" t="s">
        <v>601</v>
      </c>
    </row>
    <row r="332" spans="1:16" ht="26.4">
      <c r="A332" s="2961">
        <v>216</v>
      </c>
      <c r="B332" s="2965" t="s">
        <v>151</v>
      </c>
      <c r="C332" s="2966" t="s">
        <v>602</v>
      </c>
      <c r="D332" s="2308">
        <f t="shared" si="10"/>
        <v>2015</v>
      </c>
      <c r="E332" s="2962">
        <f>'ספר לבן'!C80</f>
        <v>150029</v>
      </c>
      <c r="F332" s="3096" t="s">
        <v>151</v>
      </c>
      <c r="G332" s="2965" t="s">
        <v>603</v>
      </c>
      <c r="H332" s="3095">
        <f t="shared" si="55"/>
        <v>2014</v>
      </c>
      <c r="I332" s="2962">
        <f>'ספר לבן'!D87</f>
        <v>150029</v>
      </c>
      <c r="J332" s="2302" t="str">
        <f>IF(E332=I332,$B$3,"")</f>
        <v>תקין</v>
      </c>
      <c r="K332" s="2303" t="str">
        <f t="shared" si="56"/>
        <v/>
      </c>
      <c r="L332" s="2729" t="str">
        <f t="shared" si="57"/>
        <v/>
      </c>
      <c r="M332" s="2964"/>
      <c r="N332" s="2280"/>
      <c r="P332" s="2665" t="s">
        <v>604</v>
      </c>
    </row>
    <row r="333" spans="1:16" ht="20.399999999999999">
      <c r="A333" s="2961">
        <v>217</v>
      </c>
      <c r="B333" s="2965" t="s">
        <v>151</v>
      </c>
      <c r="C333" s="2966" t="s">
        <v>605</v>
      </c>
      <c r="D333" s="2308">
        <f t="shared" si="10"/>
        <v>2015</v>
      </c>
      <c r="E333" s="2962">
        <f>'ספר לבן'!H80</f>
        <v>788</v>
      </c>
      <c r="F333" s="3096" t="s">
        <v>151</v>
      </c>
      <c r="G333" s="2965" t="s">
        <v>606</v>
      </c>
      <c r="H333" s="3095">
        <f t="shared" si="55"/>
        <v>2014</v>
      </c>
      <c r="I333" s="2962">
        <f>'ספר לבן'!I87</f>
        <v>788</v>
      </c>
      <c r="J333" s="2302" t="str">
        <f>IF(E333=I333,$B$3,"")</f>
        <v>תקין</v>
      </c>
      <c r="K333" s="2303" t="str">
        <f t="shared" si="56"/>
        <v/>
      </c>
      <c r="L333" s="2729" t="str">
        <f t="shared" si="57"/>
        <v/>
      </c>
      <c r="M333" s="2964"/>
      <c r="N333" s="2280"/>
      <c r="P333" s="2665" t="s">
        <v>607</v>
      </c>
    </row>
    <row r="334" spans="1:16" ht="30.6">
      <c r="A334" s="2961">
        <v>218</v>
      </c>
      <c r="B334" s="2965" t="s">
        <v>1468</v>
      </c>
      <c r="C334" s="2966" t="s">
        <v>610</v>
      </c>
      <c r="D334" s="2308">
        <f t="shared" si="10"/>
        <v>2015</v>
      </c>
      <c r="E334" s="2962">
        <f>'דוח לתושב'!C43</f>
        <v>126658</v>
      </c>
      <c r="F334" s="3096" t="s">
        <v>1468</v>
      </c>
      <c r="G334" s="2965" t="s">
        <v>611</v>
      </c>
      <c r="H334" s="3095">
        <f t="shared" si="55"/>
        <v>2014</v>
      </c>
      <c r="I334" s="2962">
        <f>'דוח לתושב'!D46</f>
        <v>126658</v>
      </c>
      <c r="J334" s="2302" t="str">
        <f>IF(E334=I334,$B$3,"")</f>
        <v>תקין</v>
      </c>
      <c r="K334" s="2303" t="str">
        <f t="shared" si="56"/>
        <v/>
      </c>
      <c r="L334" s="2729" t="str">
        <f t="shared" si="57"/>
        <v/>
      </c>
      <c r="M334" s="2964"/>
      <c r="N334" s="2280"/>
      <c r="P334" s="2665" t="s">
        <v>612</v>
      </c>
    </row>
    <row r="335" spans="1:16" ht="26.4">
      <c r="A335" s="2961">
        <v>219</v>
      </c>
      <c r="B335" s="2965" t="s">
        <v>1468</v>
      </c>
      <c r="C335" s="2966" t="s">
        <v>613</v>
      </c>
      <c r="D335" s="2308">
        <f t="shared" si="10"/>
        <v>2015</v>
      </c>
      <c r="E335" s="2962">
        <f>'דוח לתושב'!J34</f>
        <v>150029</v>
      </c>
      <c r="F335" s="3096" t="s">
        <v>1468</v>
      </c>
      <c r="G335" s="2965" t="s">
        <v>614</v>
      </c>
      <c r="H335" s="3095">
        <f t="shared" si="55"/>
        <v>2014</v>
      </c>
      <c r="I335" s="2962">
        <f>'דוח לתושב'!K40</f>
        <v>150029</v>
      </c>
      <c r="J335" s="2302" t="str">
        <f>IF(E335=I335,$B$3,"")</f>
        <v>תקין</v>
      </c>
      <c r="K335" s="2303" t="str">
        <f t="shared" si="56"/>
        <v/>
      </c>
      <c r="L335" s="2729" t="str">
        <f t="shared" si="57"/>
        <v/>
      </c>
      <c r="M335" s="2964"/>
      <c r="N335" s="2280"/>
      <c r="P335" s="2665" t="s">
        <v>615</v>
      </c>
    </row>
    <row r="336" spans="1:16">
      <c r="A336" s="2961"/>
      <c r="B336" s="2965"/>
      <c r="C336" s="2966"/>
      <c r="D336" s="3095"/>
      <c r="E336" s="2962"/>
      <c r="F336" s="3096"/>
      <c r="G336" s="2965"/>
      <c r="H336" s="3095"/>
      <c r="I336" s="2962"/>
      <c r="J336" s="2981"/>
      <c r="K336" s="2982"/>
      <c r="L336" s="3156"/>
      <c r="M336" s="2964"/>
      <c r="N336" s="2280"/>
    </row>
    <row r="337" spans="1:16">
      <c r="A337" s="2961"/>
      <c r="B337" s="2965"/>
      <c r="C337" s="2966"/>
      <c r="D337" s="3095"/>
      <c r="E337" s="2962"/>
      <c r="F337" s="3096"/>
      <c r="G337" s="2965"/>
      <c r="H337" s="3095"/>
      <c r="I337" s="2962"/>
      <c r="J337" s="2981"/>
      <c r="K337" s="2982"/>
      <c r="L337" s="3156"/>
      <c r="M337" s="2964"/>
      <c r="N337" s="2280"/>
    </row>
    <row r="338" spans="1:16">
      <c r="A338" s="2961"/>
      <c r="B338" s="2965"/>
      <c r="C338" s="2966"/>
      <c r="D338" s="3095"/>
      <c r="E338" s="2962"/>
      <c r="F338" s="3096"/>
      <c r="G338" s="2965"/>
      <c r="H338" s="3095"/>
      <c r="I338" s="2962"/>
      <c r="J338" s="2981"/>
      <c r="K338" s="2982"/>
      <c r="L338" s="3156"/>
      <c r="M338" s="2964"/>
      <c r="N338" s="2280"/>
    </row>
    <row r="339" spans="1:16">
      <c r="A339" s="2961"/>
      <c r="B339" s="2965"/>
      <c r="C339" s="2966"/>
      <c r="D339" s="3095"/>
      <c r="E339" s="2962"/>
      <c r="F339" s="3096"/>
      <c r="G339" s="2965"/>
      <c r="H339" s="3095"/>
      <c r="I339" s="2962"/>
      <c r="J339" s="2981"/>
      <c r="K339" s="2982"/>
      <c r="L339" s="3156"/>
      <c r="M339" s="2964"/>
      <c r="N339" s="2280"/>
    </row>
    <row r="340" spans="1:16">
      <c r="A340" s="2961"/>
      <c r="B340" s="2965"/>
      <c r="C340" s="2966"/>
      <c r="D340" s="3095"/>
      <c r="E340" s="2962"/>
      <c r="F340" s="3096"/>
      <c r="G340" s="2965"/>
      <c r="H340" s="3095"/>
      <c r="I340" s="2962"/>
      <c r="J340" s="2981"/>
      <c r="K340" s="2982"/>
      <c r="L340" s="3156"/>
      <c r="M340" s="2964"/>
      <c r="N340" s="2280"/>
    </row>
    <row r="341" spans="1:16">
      <c r="A341" s="2961"/>
      <c r="B341" s="2965"/>
      <c r="C341" s="2966"/>
      <c r="D341" s="3095"/>
      <c r="E341" s="2962"/>
      <c r="F341" s="3096"/>
      <c r="G341" s="2965"/>
      <c r="H341" s="3095"/>
      <c r="I341" s="2962"/>
      <c r="J341" s="2981"/>
      <c r="K341" s="2982"/>
      <c r="L341" s="3156"/>
      <c r="M341" s="2964"/>
      <c r="N341" s="2280"/>
    </row>
    <row r="342" spans="1:16">
      <c r="A342" s="2961"/>
      <c r="B342" s="2965"/>
      <c r="C342" s="2966"/>
      <c r="D342" s="3095"/>
      <c r="E342" s="2962"/>
      <c r="F342" s="3096"/>
      <c r="G342" s="2965"/>
      <c r="H342" s="3095"/>
      <c r="I342" s="2962"/>
      <c r="J342" s="2981"/>
      <c r="K342" s="2982"/>
      <c r="L342" s="3156"/>
      <c r="M342" s="2964"/>
      <c r="N342" s="2280"/>
    </row>
    <row r="343" spans="1:16">
      <c r="A343" s="2961"/>
      <c r="B343" s="2965"/>
      <c r="C343" s="2966"/>
      <c r="D343" s="3095"/>
      <c r="E343" s="2962"/>
      <c r="F343" s="3096"/>
      <c r="G343" s="2965"/>
      <c r="H343" s="3095"/>
      <c r="I343" s="2962"/>
      <c r="J343" s="2981"/>
      <c r="K343" s="2982"/>
      <c r="L343" s="3156"/>
      <c r="M343" s="2964"/>
      <c r="N343" s="2280"/>
    </row>
    <row r="344" spans="1:16">
      <c r="A344" s="3017"/>
      <c r="B344" s="2316"/>
      <c r="C344" s="2317"/>
      <c r="D344" s="2337"/>
      <c r="E344" s="2318"/>
      <c r="F344" s="2338"/>
      <c r="G344" s="2316"/>
      <c r="H344" s="2337"/>
      <c r="I344" s="2318"/>
      <c r="J344" s="2327"/>
      <c r="K344" s="2320"/>
      <c r="L344" s="2730"/>
      <c r="M344" s="2748"/>
      <c r="N344" s="2280"/>
      <c r="P344" s="2281"/>
    </row>
    <row r="345" spans="1:16">
      <c r="A345" s="3086"/>
      <c r="B345" s="3087"/>
      <c r="C345" s="3088"/>
      <c r="D345" s="3089"/>
      <c r="E345" s="3090"/>
      <c r="F345" s="3089"/>
      <c r="G345" s="3087"/>
      <c r="H345" s="3089"/>
      <c r="I345" s="3090"/>
      <c r="J345" s="3091"/>
      <c r="K345" s="3092"/>
      <c r="L345" s="3093"/>
      <c r="M345" s="3094"/>
      <c r="N345" s="2280"/>
      <c r="P345" s="2281"/>
    </row>
    <row r="346" spans="1:16" ht="13.8" thickBot="1">
      <c r="A346" s="2282"/>
      <c r="B346" s="2283"/>
      <c r="C346" s="2283"/>
      <c r="D346" s="2283"/>
      <c r="E346" s="2284"/>
      <c r="F346" s="2283"/>
      <c r="G346" s="2283"/>
      <c r="H346" s="2283"/>
      <c r="I346" s="2284"/>
      <c r="J346" s="2339"/>
      <c r="K346" s="2340"/>
      <c r="L346" s="2340"/>
      <c r="M346" s="2743"/>
      <c r="N346" s="2341"/>
      <c r="P346" s="2281"/>
    </row>
    <row r="347" spans="1:16" ht="13.8" thickTop="1">
      <c r="A347" s="2342"/>
      <c r="B347" s="2343"/>
      <c r="C347" s="2343"/>
      <c r="D347" s="2343"/>
      <c r="E347" s="2344"/>
      <c r="F347" s="2343"/>
      <c r="G347" s="2343"/>
      <c r="H347" s="2343"/>
      <c r="I347" s="2344"/>
      <c r="J347" s="2345"/>
      <c r="K347" s="2346"/>
      <c r="L347" s="2346"/>
      <c r="M347" s="2749"/>
      <c r="N347" s="2343"/>
      <c r="P347" s="2281"/>
    </row>
    <row r="348" spans="1:16">
      <c r="J348" s="2349"/>
      <c r="K348" s="2350"/>
      <c r="L348" s="2350"/>
      <c r="P348" s="2281"/>
    </row>
    <row r="349" spans="1:16">
      <c r="J349" s="2349"/>
      <c r="K349" s="2350"/>
      <c r="L349" s="2350"/>
      <c r="P349" s="2281"/>
    </row>
    <row r="350" spans="1:16">
      <c r="J350" s="2349"/>
      <c r="K350" s="2350"/>
      <c r="L350" s="2350"/>
      <c r="P350" s="2281"/>
    </row>
    <row r="351" spans="1:16">
      <c r="J351" s="2349"/>
      <c r="K351" s="2350"/>
      <c r="L351" s="2350"/>
      <c r="P351" s="2281"/>
    </row>
    <row r="352" spans="1:16">
      <c r="J352" s="2349"/>
      <c r="K352" s="2350"/>
      <c r="L352" s="2350"/>
      <c r="P352" s="2281"/>
    </row>
    <row r="353" spans="1:16">
      <c r="J353" s="2349"/>
      <c r="K353" s="2350"/>
      <c r="L353" s="2350"/>
      <c r="P353" s="2281"/>
    </row>
    <row r="354" spans="1:16">
      <c r="J354" s="2349"/>
      <c r="K354" s="2350"/>
      <c r="L354" s="2350"/>
      <c r="P354" s="2281"/>
    </row>
    <row r="355" spans="1:16">
      <c r="J355" s="2349"/>
      <c r="K355" s="2350"/>
      <c r="L355" s="2350"/>
      <c r="P355" s="2281"/>
    </row>
    <row r="356" spans="1:16">
      <c r="J356" s="2349"/>
      <c r="K356" s="2350"/>
      <c r="L356" s="2350"/>
      <c r="P356" s="2281"/>
    </row>
    <row r="357" spans="1:16">
      <c r="J357" s="2349"/>
      <c r="K357" s="2350"/>
      <c r="L357" s="2350"/>
      <c r="P357" s="2281"/>
    </row>
    <row r="358" spans="1:16">
      <c r="J358" s="2349"/>
      <c r="K358" s="2350"/>
      <c r="L358" s="2350"/>
      <c r="P358" s="2281"/>
    </row>
    <row r="359" spans="1:16">
      <c r="J359" s="2349"/>
      <c r="K359" s="2350"/>
      <c r="L359" s="2350"/>
      <c r="P359" s="2281"/>
    </row>
    <row r="360" spans="1:16">
      <c r="A360" s="2281"/>
      <c r="E360" s="2281"/>
      <c r="I360" s="2281"/>
      <c r="J360" s="2349"/>
      <c r="K360" s="2350"/>
      <c r="L360" s="2350"/>
      <c r="M360" s="2281"/>
      <c r="P360" s="2281"/>
    </row>
    <row r="361" spans="1:16">
      <c r="A361" s="2281"/>
      <c r="E361" s="2281"/>
      <c r="I361" s="2281"/>
      <c r="J361" s="2349"/>
      <c r="K361" s="2350"/>
      <c r="L361" s="2350"/>
      <c r="M361" s="2281"/>
      <c r="P361" s="2281"/>
    </row>
    <row r="362" spans="1:16">
      <c r="A362" s="2281"/>
      <c r="E362" s="2281"/>
      <c r="I362" s="2281"/>
      <c r="J362" s="2349"/>
      <c r="K362" s="2350"/>
      <c r="L362" s="2350"/>
      <c r="M362" s="2281"/>
      <c r="P362" s="2281"/>
    </row>
    <row r="363" spans="1:16">
      <c r="A363" s="2281"/>
      <c r="E363" s="2281"/>
      <c r="I363" s="2281"/>
      <c r="J363" s="2349"/>
      <c r="K363" s="2350"/>
      <c r="L363" s="2350"/>
      <c r="M363" s="2281"/>
      <c r="P363" s="2281"/>
    </row>
    <row r="364" spans="1:16">
      <c r="A364" s="2281"/>
      <c r="E364" s="2281"/>
      <c r="I364" s="2281"/>
      <c r="J364" s="2349"/>
      <c r="K364" s="2350"/>
      <c r="L364" s="2350"/>
      <c r="M364" s="2281"/>
      <c r="P364" s="2281"/>
    </row>
    <row r="365" spans="1:16">
      <c r="A365" s="2281"/>
      <c r="E365" s="2281"/>
      <c r="I365" s="2281"/>
      <c r="J365" s="2349"/>
      <c r="K365" s="2350"/>
      <c r="L365" s="2350"/>
      <c r="M365" s="2281"/>
      <c r="P365" s="2281"/>
    </row>
    <row r="366" spans="1:16">
      <c r="A366" s="2281"/>
      <c r="E366" s="2281"/>
      <c r="I366" s="2281"/>
      <c r="J366" s="2349"/>
      <c r="K366" s="2350"/>
      <c r="L366" s="2350"/>
      <c r="M366" s="2281"/>
      <c r="P366" s="2281"/>
    </row>
    <row r="367" spans="1:16">
      <c r="A367" s="2281"/>
      <c r="E367" s="2281"/>
      <c r="I367" s="2281"/>
      <c r="J367" s="2349"/>
      <c r="K367" s="2350"/>
      <c r="L367" s="2350"/>
      <c r="M367" s="2281"/>
      <c r="P367" s="2281"/>
    </row>
    <row r="368" spans="1:16">
      <c r="A368" s="2281"/>
      <c r="E368" s="2281"/>
      <c r="I368" s="2281"/>
      <c r="J368" s="2349"/>
      <c r="K368" s="2350"/>
      <c r="L368" s="2350"/>
      <c r="M368" s="2281"/>
      <c r="P368" s="2281"/>
    </row>
    <row r="369" spans="1:16">
      <c r="A369" s="2281"/>
      <c r="E369" s="2281"/>
      <c r="I369" s="2281"/>
      <c r="J369" s="2349"/>
      <c r="K369" s="2350"/>
      <c r="L369" s="2350"/>
      <c r="M369" s="2281"/>
      <c r="P369" s="2281"/>
    </row>
    <row r="370" spans="1:16">
      <c r="A370" s="2281"/>
      <c r="E370" s="2281"/>
      <c r="I370" s="2281"/>
      <c r="J370" s="2349"/>
      <c r="K370" s="2350"/>
      <c r="L370" s="2350"/>
      <c r="M370" s="2281"/>
      <c r="P370" s="2281"/>
    </row>
    <row r="371" spans="1:16">
      <c r="A371" s="2281"/>
      <c r="E371" s="2281"/>
      <c r="I371" s="2281"/>
      <c r="J371" s="2349"/>
      <c r="K371" s="2350"/>
      <c r="L371" s="2350"/>
      <c r="M371" s="2281"/>
      <c r="P371" s="2281"/>
    </row>
    <row r="372" spans="1:16">
      <c r="A372" s="2281"/>
      <c r="E372" s="2281"/>
      <c r="I372" s="2281"/>
      <c r="J372" s="2349"/>
      <c r="K372" s="2350"/>
      <c r="L372" s="2350"/>
      <c r="M372" s="2281"/>
      <c r="P372" s="2281"/>
    </row>
    <row r="373" spans="1:16">
      <c r="A373" s="2281"/>
      <c r="E373" s="2281"/>
      <c r="I373" s="2281"/>
      <c r="J373" s="2349"/>
      <c r="K373" s="2350"/>
      <c r="L373" s="2350"/>
      <c r="M373" s="2281"/>
      <c r="P373" s="2281"/>
    </row>
    <row r="374" spans="1:16">
      <c r="A374" s="2281"/>
      <c r="E374" s="2281"/>
      <c r="I374" s="2281"/>
      <c r="J374" s="2349"/>
      <c r="K374" s="2350"/>
      <c r="L374" s="2350"/>
      <c r="M374" s="2281"/>
      <c r="P374" s="2281"/>
    </row>
    <row r="375" spans="1:16">
      <c r="A375" s="2281"/>
      <c r="E375" s="2281"/>
      <c r="I375" s="2281"/>
      <c r="J375" s="2349"/>
      <c r="K375" s="2350"/>
      <c r="L375" s="2350"/>
      <c r="M375" s="2281"/>
      <c r="P375" s="2281"/>
    </row>
    <row r="376" spans="1:16">
      <c r="A376" s="2281"/>
      <c r="E376" s="2281"/>
      <c r="I376" s="2281"/>
      <c r="J376" s="2349"/>
      <c r="K376" s="2350"/>
      <c r="L376" s="2350"/>
      <c r="M376" s="2281"/>
      <c r="P376" s="2281"/>
    </row>
    <row r="377" spans="1:16">
      <c r="A377" s="2281"/>
      <c r="E377" s="2281"/>
      <c r="I377" s="2281"/>
      <c r="J377" s="2349"/>
      <c r="K377" s="2350"/>
      <c r="L377" s="2350"/>
      <c r="M377" s="2281"/>
      <c r="P377" s="2281"/>
    </row>
    <row r="378" spans="1:16">
      <c r="A378" s="2281"/>
      <c r="E378" s="2281"/>
      <c r="I378" s="2281"/>
      <c r="J378" s="2349"/>
      <c r="K378" s="2350"/>
      <c r="L378" s="2350"/>
      <c r="M378" s="2281"/>
      <c r="P378" s="2281"/>
    </row>
    <row r="379" spans="1:16">
      <c r="A379" s="2281"/>
      <c r="E379" s="2281"/>
      <c r="I379" s="2281"/>
      <c r="J379" s="2349"/>
      <c r="K379" s="2350"/>
      <c r="L379" s="2350"/>
      <c r="M379" s="2281"/>
      <c r="P379" s="2281"/>
    </row>
    <row r="380" spans="1:16">
      <c r="A380" s="2281"/>
      <c r="E380" s="2281"/>
      <c r="I380" s="2281"/>
      <c r="J380" s="2349"/>
      <c r="K380" s="2350"/>
      <c r="L380" s="2350"/>
      <c r="M380" s="2281"/>
      <c r="P380" s="2281"/>
    </row>
    <row r="381" spans="1:16">
      <c r="A381" s="2281"/>
      <c r="E381" s="2281"/>
      <c r="I381" s="2281"/>
      <c r="J381" s="2349"/>
      <c r="K381" s="2350"/>
      <c r="L381" s="2350"/>
      <c r="M381" s="2281"/>
      <c r="P381" s="2281"/>
    </row>
    <row r="382" spans="1:16">
      <c r="A382" s="2281"/>
      <c r="E382" s="2281"/>
      <c r="I382" s="2281"/>
      <c r="J382" s="2349"/>
      <c r="K382" s="2350"/>
      <c r="L382" s="2350"/>
      <c r="M382" s="2281"/>
      <c r="P382" s="2281"/>
    </row>
    <row r="383" spans="1:16">
      <c r="A383" s="2281"/>
      <c r="E383" s="2281"/>
      <c r="I383" s="2281"/>
      <c r="J383" s="2349"/>
      <c r="K383" s="2350"/>
      <c r="L383" s="2350"/>
      <c r="M383" s="2281"/>
      <c r="P383" s="2281"/>
    </row>
    <row r="384" spans="1:16">
      <c r="A384" s="2281"/>
      <c r="E384" s="2281"/>
      <c r="I384" s="2281"/>
      <c r="J384" s="2349"/>
      <c r="K384" s="2350"/>
      <c r="L384" s="2350"/>
      <c r="M384" s="2281"/>
      <c r="P384" s="2281"/>
    </row>
    <row r="385" spans="1:16">
      <c r="A385" s="2281"/>
      <c r="E385" s="2281"/>
      <c r="I385" s="2281"/>
      <c r="J385" s="2349"/>
      <c r="K385" s="2350"/>
      <c r="L385" s="2350"/>
      <c r="M385" s="2281"/>
      <c r="P385" s="2281"/>
    </row>
    <row r="386" spans="1:16">
      <c r="A386" s="2281"/>
      <c r="E386" s="2281"/>
      <c r="I386" s="2281"/>
      <c r="J386" s="2349"/>
      <c r="K386" s="2350"/>
      <c r="L386" s="2350"/>
      <c r="M386" s="2281"/>
      <c r="P386" s="2281"/>
    </row>
    <row r="387" spans="1:16">
      <c r="A387" s="2281"/>
      <c r="E387" s="2281"/>
      <c r="I387" s="2281"/>
      <c r="J387" s="2349"/>
      <c r="K387" s="2350"/>
      <c r="L387" s="2350"/>
      <c r="M387" s="2281"/>
      <c r="P387" s="2281"/>
    </row>
    <row r="388" spans="1:16">
      <c r="A388" s="2281"/>
      <c r="E388" s="2281"/>
      <c r="I388" s="2281"/>
      <c r="J388" s="2349"/>
      <c r="K388" s="2350"/>
      <c r="L388" s="2350"/>
      <c r="M388" s="2281"/>
      <c r="P388" s="2281"/>
    </row>
    <row r="389" spans="1:16">
      <c r="A389" s="2281"/>
      <c r="E389" s="2281"/>
      <c r="I389" s="2281"/>
      <c r="J389" s="2349"/>
      <c r="K389" s="2350"/>
      <c r="L389" s="2350"/>
      <c r="M389" s="2281"/>
      <c r="P389" s="2281"/>
    </row>
    <row r="390" spans="1:16">
      <c r="A390" s="2281"/>
      <c r="E390" s="2281"/>
      <c r="I390" s="2281"/>
      <c r="J390" s="2349"/>
      <c r="K390" s="2350"/>
      <c r="L390" s="2350"/>
      <c r="M390" s="2281"/>
      <c r="P390" s="2281"/>
    </row>
    <row r="391" spans="1:16">
      <c r="A391" s="2281"/>
      <c r="E391" s="2281"/>
      <c r="I391" s="2281"/>
      <c r="J391" s="2349"/>
      <c r="K391" s="2350"/>
      <c r="L391" s="2350"/>
      <c r="M391" s="2281"/>
      <c r="P391" s="2281"/>
    </row>
    <row r="392" spans="1:16">
      <c r="A392" s="2281"/>
      <c r="E392" s="2281"/>
      <c r="I392" s="2281"/>
      <c r="J392" s="2349"/>
      <c r="K392" s="2350"/>
      <c r="L392" s="2350"/>
      <c r="M392" s="2281"/>
      <c r="P392" s="2281"/>
    </row>
    <row r="393" spans="1:16">
      <c r="A393" s="2281"/>
      <c r="E393" s="2281"/>
      <c r="I393" s="2281"/>
      <c r="J393" s="2349"/>
      <c r="K393" s="2350"/>
      <c r="L393" s="2350"/>
      <c r="M393" s="2281"/>
      <c r="P393" s="2281"/>
    </row>
    <row r="394" spans="1:16">
      <c r="A394" s="2281"/>
      <c r="E394" s="2281"/>
      <c r="I394" s="2281"/>
      <c r="J394" s="2349"/>
      <c r="K394" s="2350"/>
      <c r="L394" s="2350"/>
      <c r="M394" s="2281"/>
      <c r="P394" s="2281"/>
    </row>
    <row r="395" spans="1:16">
      <c r="A395" s="2281"/>
      <c r="E395" s="2281"/>
      <c r="I395" s="2281"/>
      <c r="J395" s="2349"/>
      <c r="K395" s="2350"/>
      <c r="L395" s="2350"/>
      <c r="M395" s="2281"/>
      <c r="P395" s="2281"/>
    </row>
    <row r="396" spans="1:16">
      <c r="A396" s="2281"/>
      <c r="E396" s="2281"/>
      <c r="I396" s="2281"/>
      <c r="J396" s="2349"/>
      <c r="K396" s="2350"/>
      <c r="L396" s="2350"/>
      <c r="M396" s="2281"/>
      <c r="P396" s="2281"/>
    </row>
    <row r="397" spans="1:16">
      <c r="A397" s="2281"/>
      <c r="E397" s="2281"/>
      <c r="I397" s="2281"/>
      <c r="J397" s="2349"/>
      <c r="K397" s="2350"/>
      <c r="L397" s="2350"/>
      <c r="M397" s="2281"/>
      <c r="P397" s="2281"/>
    </row>
    <row r="398" spans="1:16">
      <c r="A398" s="2281"/>
      <c r="E398" s="2281"/>
      <c r="I398" s="2281"/>
      <c r="J398" s="2349"/>
      <c r="K398" s="2350"/>
      <c r="L398" s="2350"/>
      <c r="M398" s="2281"/>
      <c r="P398" s="2281"/>
    </row>
    <row r="399" spans="1:16">
      <c r="A399" s="2281"/>
      <c r="E399" s="2281"/>
      <c r="I399" s="2281"/>
      <c r="J399" s="2349"/>
      <c r="K399" s="2350"/>
      <c r="L399" s="2350"/>
      <c r="M399" s="2281"/>
      <c r="P399" s="2281"/>
    </row>
    <row r="400" spans="1:16">
      <c r="A400" s="2281"/>
      <c r="E400" s="2281"/>
      <c r="I400" s="2281"/>
      <c r="J400" s="2349"/>
      <c r="K400" s="2350"/>
      <c r="L400" s="2350"/>
      <c r="M400" s="2281"/>
      <c r="P400" s="2281"/>
    </row>
    <row r="401" spans="1:16">
      <c r="A401" s="2281"/>
      <c r="E401" s="2281"/>
      <c r="I401" s="2281"/>
      <c r="J401" s="2349"/>
      <c r="K401" s="2350"/>
      <c r="L401" s="2350"/>
      <c r="M401" s="2281"/>
      <c r="P401" s="2281"/>
    </row>
    <row r="402" spans="1:16">
      <c r="A402" s="2281"/>
      <c r="E402" s="2281"/>
      <c r="I402" s="2281"/>
      <c r="J402" s="2349"/>
      <c r="K402" s="2350"/>
      <c r="L402" s="2350"/>
      <c r="M402" s="2281"/>
      <c r="P402" s="2281"/>
    </row>
    <row r="403" spans="1:16">
      <c r="A403" s="2281"/>
      <c r="E403" s="2281"/>
      <c r="I403" s="2281"/>
      <c r="J403" s="2349"/>
      <c r="K403" s="2350"/>
      <c r="L403" s="2350"/>
      <c r="M403" s="2281"/>
      <c r="P403" s="2281"/>
    </row>
    <row r="404" spans="1:16">
      <c r="A404" s="2281"/>
      <c r="E404" s="2281"/>
      <c r="I404" s="2281"/>
      <c r="J404" s="2349"/>
      <c r="K404" s="2350"/>
      <c r="L404" s="2350"/>
      <c r="M404" s="2281"/>
      <c r="P404" s="2281"/>
    </row>
    <row r="405" spans="1:16">
      <c r="A405" s="2281"/>
      <c r="E405" s="2281"/>
      <c r="I405" s="2281"/>
      <c r="J405" s="2349"/>
      <c r="K405" s="2350"/>
      <c r="L405" s="2350"/>
      <c r="M405" s="2281"/>
      <c r="P405" s="2281"/>
    </row>
    <row r="406" spans="1:16">
      <c r="A406" s="2281"/>
      <c r="E406" s="2281"/>
      <c r="I406" s="2281"/>
      <c r="J406" s="2349"/>
      <c r="K406" s="2350"/>
      <c r="L406" s="2350"/>
      <c r="M406" s="2281"/>
      <c r="P406" s="2281"/>
    </row>
    <row r="407" spans="1:16">
      <c r="A407" s="2281"/>
      <c r="E407" s="2281"/>
      <c r="I407" s="2281"/>
      <c r="J407" s="2349"/>
      <c r="K407" s="2350"/>
      <c r="L407" s="2350"/>
      <c r="M407" s="2281"/>
      <c r="P407" s="2281"/>
    </row>
    <row r="408" spans="1:16">
      <c r="A408" s="2281"/>
      <c r="E408" s="2281"/>
      <c r="I408" s="2281"/>
      <c r="J408" s="2349"/>
      <c r="K408" s="2350"/>
      <c r="L408" s="2350"/>
      <c r="M408" s="2281"/>
      <c r="P408" s="2281"/>
    </row>
    <row r="409" spans="1:16">
      <c r="A409" s="2281"/>
      <c r="E409" s="2281"/>
      <c r="I409" s="2281"/>
      <c r="J409" s="2349"/>
      <c r="K409" s="2350"/>
      <c r="L409" s="2350"/>
      <c r="M409" s="2281"/>
      <c r="P409" s="2281"/>
    </row>
    <row r="410" spans="1:16">
      <c r="A410" s="2281"/>
      <c r="E410" s="2281"/>
      <c r="I410" s="2281"/>
      <c r="J410" s="2349"/>
      <c r="K410" s="2350"/>
      <c r="L410" s="2350"/>
      <c r="M410" s="2281"/>
      <c r="P410" s="2281"/>
    </row>
    <row r="411" spans="1:16">
      <c r="A411" s="2281"/>
      <c r="E411" s="2281"/>
      <c r="I411" s="2281"/>
      <c r="J411" s="2349"/>
      <c r="K411" s="2350"/>
      <c r="L411" s="2350"/>
      <c r="M411" s="2281"/>
      <c r="P411" s="2281"/>
    </row>
    <row r="412" spans="1:16">
      <c r="A412" s="2281"/>
      <c r="E412" s="2281"/>
      <c r="I412" s="2281"/>
      <c r="J412" s="2349"/>
      <c r="K412" s="2350"/>
      <c r="L412" s="2350"/>
      <c r="M412" s="2281"/>
      <c r="P412" s="2281"/>
    </row>
    <row r="413" spans="1:16">
      <c r="A413" s="2281"/>
      <c r="E413" s="2281"/>
      <c r="I413" s="2281"/>
      <c r="J413" s="2349"/>
      <c r="K413" s="2350"/>
      <c r="L413" s="2350"/>
      <c r="M413" s="2281"/>
      <c r="P413" s="2281"/>
    </row>
    <row r="414" spans="1:16">
      <c r="A414" s="2281"/>
      <c r="E414" s="2281"/>
      <c r="I414" s="2281"/>
      <c r="J414" s="2349"/>
      <c r="K414" s="2350"/>
      <c r="L414" s="2350"/>
      <c r="M414" s="2281"/>
      <c r="P414" s="2281"/>
    </row>
    <row r="415" spans="1:16">
      <c r="A415" s="2281"/>
      <c r="E415" s="2281"/>
      <c r="I415" s="2281"/>
      <c r="J415" s="2349"/>
      <c r="K415" s="2350"/>
      <c r="L415" s="2350"/>
      <c r="M415" s="2281"/>
      <c r="P415" s="2281"/>
    </row>
    <row r="416" spans="1:16">
      <c r="A416" s="2281"/>
      <c r="E416" s="2281"/>
      <c r="I416" s="2281"/>
      <c r="J416" s="2349"/>
      <c r="K416" s="2350"/>
      <c r="L416" s="2350"/>
      <c r="M416" s="2281"/>
      <c r="P416" s="2281"/>
    </row>
    <row r="417" spans="1:16">
      <c r="A417" s="2281"/>
      <c r="E417" s="2281"/>
      <c r="I417" s="2281"/>
      <c r="J417" s="2349"/>
      <c r="K417" s="2350"/>
      <c r="L417" s="2350"/>
      <c r="M417" s="2281"/>
      <c r="P417" s="2281"/>
    </row>
    <row r="418" spans="1:16">
      <c r="A418" s="2281"/>
      <c r="E418" s="2281"/>
      <c r="I418" s="2281"/>
      <c r="J418" s="2349"/>
      <c r="K418" s="2350"/>
      <c r="L418" s="2350"/>
      <c r="M418" s="2281"/>
      <c r="P418" s="2281"/>
    </row>
    <row r="419" spans="1:16">
      <c r="A419" s="2281"/>
      <c r="E419" s="2281"/>
      <c r="I419" s="2281"/>
      <c r="J419" s="2349"/>
      <c r="K419" s="2350"/>
      <c r="L419" s="2350"/>
      <c r="M419" s="2281"/>
      <c r="P419" s="2281"/>
    </row>
    <row r="420" spans="1:16">
      <c r="A420" s="2281"/>
      <c r="E420" s="2281"/>
      <c r="I420" s="2281"/>
      <c r="J420" s="2349"/>
      <c r="K420" s="2350"/>
      <c r="L420" s="2350"/>
      <c r="M420" s="2281"/>
      <c r="P420" s="2281"/>
    </row>
    <row r="421" spans="1:16">
      <c r="A421" s="2281"/>
      <c r="E421" s="2281"/>
      <c r="I421" s="2281"/>
      <c r="J421" s="2349"/>
      <c r="K421" s="2350"/>
      <c r="L421" s="2350"/>
      <c r="M421" s="2281"/>
      <c r="P421" s="2281"/>
    </row>
    <row r="422" spans="1:16">
      <c r="A422" s="2281"/>
      <c r="E422" s="2281"/>
      <c r="I422" s="2281"/>
      <c r="J422" s="2349"/>
      <c r="K422" s="2350"/>
      <c r="L422" s="2350"/>
      <c r="M422" s="2281"/>
      <c r="P422" s="2281"/>
    </row>
    <row r="423" spans="1:16">
      <c r="A423" s="2281"/>
      <c r="E423" s="2281"/>
      <c r="I423" s="2281"/>
      <c r="J423" s="2349"/>
      <c r="K423" s="2350"/>
      <c r="L423" s="2350"/>
      <c r="M423" s="2281"/>
      <c r="P423" s="2281"/>
    </row>
    <row r="424" spans="1:16">
      <c r="A424" s="2281"/>
      <c r="E424" s="2281"/>
      <c r="I424" s="2281"/>
      <c r="J424" s="2349"/>
      <c r="K424" s="2350"/>
      <c r="L424" s="2350"/>
      <c r="M424" s="2281"/>
      <c r="P424" s="2281"/>
    </row>
    <row r="425" spans="1:16">
      <c r="A425" s="2281"/>
      <c r="E425" s="2281"/>
      <c r="I425" s="2281"/>
      <c r="J425" s="2349"/>
      <c r="K425" s="2350"/>
      <c r="L425" s="2350"/>
      <c r="M425" s="2281"/>
      <c r="P425" s="2281"/>
    </row>
    <row r="426" spans="1:16">
      <c r="A426" s="2281"/>
      <c r="E426" s="2281"/>
      <c r="I426" s="2281"/>
      <c r="J426" s="2349"/>
      <c r="K426" s="2350"/>
      <c r="L426" s="2350"/>
      <c r="M426" s="2281"/>
      <c r="P426" s="2281"/>
    </row>
    <row r="427" spans="1:16">
      <c r="A427" s="2281"/>
      <c r="E427" s="2281"/>
      <c r="I427" s="2281"/>
      <c r="J427" s="2349"/>
      <c r="K427" s="2350"/>
      <c r="L427" s="2350"/>
      <c r="M427" s="2281"/>
      <c r="P427" s="2281"/>
    </row>
    <row r="428" spans="1:16">
      <c r="A428" s="2281"/>
      <c r="E428" s="2281"/>
      <c r="I428" s="2281"/>
      <c r="J428" s="2349"/>
      <c r="K428" s="2350"/>
      <c r="L428" s="2350"/>
      <c r="M428" s="2281"/>
      <c r="P428" s="2281"/>
    </row>
    <row r="429" spans="1:16">
      <c r="A429" s="2281"/>
      <c r="E429" s="2281"/>
      <c r="I429" s="2281"/>
      <c r="J429" s="2349"/>
      <c r="K429" s="2350"/>
      <c r="L429" s="2350"/>
      <c r="M429" s="2281"/>
      <c r="P429" s="2281"/>
    </row>
    <row r="430" spans="1:16">
      <c r="A430" s="2281"/>
      <c r="E430" s="2281"/>
      <c r="I430" s="2281"/>
      <c r="J430" s="2349"/>
      <c r="K430" s="2350"/>
      <c r="L430" s="2350"/>
      <c r="M430" s="2281"/>
      <c r="P430" s="2281"/>
    </row>
    <row r="431" spans="1:16">
      <c r="A431" s="2281"/>
      <c r="E431" s="2281"/>
      <c r="I431" s="2281"/>
      <c r="J431" s="2349"/>
      <c r="K431" s="2350"/>
      <c r="L431" s="2350"/>
      <c r="M431" s="2281"/>
      <c r="P431" s="2281"/>
    </row>
    <row r="432" spans="1:16">
      <c r="A432" s="2281"/>
      <c r="E432" s="2281"/>
      <c r="I432" s="2281"/>
      <c r="J432" s="2349"/>
      <c r="K432" s="2350"/>
      <c r="L432" s="2350"/>
      <c r="M432" s="2281"/>
      <c r="P432" s="2281"/>
    </row>
    <row r="433" spans="1:16">
      <c r="A433" s="2281"/>
      <c r="E433" s="2281"/>
      <c r="I433" s="2281"/>
      <c r="J433" s="2349"/>
      <c r="K433" s="2350"/>
      <c r="L433" s="2350"/>
      <c r="M433" s="2281"/>
      <c r="P433" s="2281"/>
    </row>
    <row r="434" spans="1:16">
      <c r="A434" s="2281"/>
      <c r="E434" s="2281"/>
      <c r="I434" s="2281"/>
      <c r="J434" s="2349"/>
      <c r="K434" s="2350"/>
      <c r="L434" s="2350"/>
      <c r="M434" s="2281"/>
      <c r="P434" s="2281"/>
    </row>
    <row r="435" spans="1:16">
      <c r="A435" s="2281"/>
      <c r="E435" s="2281"/>
      <c r="I435" s="2281"/>
      <c r="J435" s="2349"/>
      <c r="K435" s="2350"/>
      <c r="L435" s="2350"/>
      <c r="M435" s="2281"/>
      <c r="P435" s="2281"/>
    </row>
    <row r="436" spans="1:16">
      <c r="A436" s="2281"/>
      <c r="E436" s="2281"/>
      <c r="I436" s="2281"/>
      <c r="J436" s="2349"/>
      <c r="K436" s="2350"/>
      <c r="L436" s="2350"/>
      <c r="M436" s="2281"/>
      <c r="P436" s="2281"/>
    </row>
    <row r="437" spans="1:16">
      <c r="A437" s="2281"/>
      <c r="E437" s="2281"/>
      <c r="I437" s="2281"/>
      <c r="J437" s="2349"/>
      <c r="K437" s="2350"/>
      <c r="L437" s="2350"/>
      <c r="M437" s="2281"/>
      <c r="P437" s="2281"/>
    </row>
    <row r="438" spans="1:16">
      <c r="A438" s="2281"/>
      <c r="E438" s="2281"/>
      <c r="I438" s="2281"/>
      <c r="J438" s="2349"/>
      <c r="K438" s="2350"/>
      <c r="L438" s="2350"/>
      <c r="M438" s="2281"/>
      <c r="P438" s="2281"/>
    </row>
    <row r="439" spans="1:16">
      <c r="A439" s="2281"/>
      <c r="E439" s="2281"/>
      <c r="I439" s="2281"/>
      <c r="J439" s="2349"/>
      <c r="K439" s="2350"/>
      <c r="L439" s="2350"/>
      <c r="M439" s="2281"/>
      <c r="P439" s="2281"/>
    </row>
    <row r="440" spans="1:16">
      <c r="A440" s="2281"/>
      <c r="E440" s="2281"/>
      <c r="I440" s="2281"/>
      <c r="J440" s="2349"/>
      <c r="K440" s="2350"/>
      <c r="L440" s="2350"/>
      <c r="M440" s="2281"/>
      <c r="P440" s="2281"/>
    </row>
    <row r="441" spans="1:16">
      <c r="A441" s="2281"/>
      <c r="E441" s="2281"/>
      <c r="I441" s="2281"/>
      <c r="J441" s="2349"/>
      <c r="K441" s="2350"/>
      <c r="L441" s="2350"/>
      <c r="M441" s="2281"/>
      <c r="P441" s="2281"/>
    </row>
    <row r="442" spans="1:16">
      <c r="A442" s="2281"/>
      <c r="E442" s="2281"/>
      <c r="I442" s="2281"/>
      <c r="J442" s="2349"/>
      <c r="K442" s="2350"/>
      <c r="L442" s="2350"/>
      <c r="M442" s="2281"/>
      <c r="P442" s="2281"/>
    </row>
    <row r="443" spans="1:16">
      <c r="A443" s="2281"/>
      <c r="E443" s="2281"/>
      <c r="I443" s="2281"/>
      <c r="J443" s="2349"/>
      <c r="K443" s="2350"/>
      <c r="L443" s="2350"/>
      <c r="M443" s="2281"/>
      <c r="P443" s="2281"/>
    </row>
    <row r="444" spans="1:16">
      <c r="A444" s="2281"/>
      <c r="E444" s="2281"/>
      <c r="I444" s="2281"/>
      <c r="J444" s="2349"/>
      <c r="K444" s="2350"/>
      <c r="L444" s="2350"/>
      <c r="M444" s="2281"/>
      <c r="P444" s="2281"/>
    </row>
    <row r="445" spans="1:16">
      <c r="A445" s="2281"/>
      <c r="E445" s="2281"/>
      <c r="I445" s="2281"/>
      <c r="J445" s="2349"/>
      <c r="K445" s="2350"/>
      <c r="L445" s="2350"/>
      <c r="M445" s="2281"/>
      <c r="P445" s="2281"/>
    </row>
    <row r="446" spans="1:16">
      <c r="A446" s="2281"/>
      <c r="E446" s="2281"/>
      <c r="I446" s="2281"/>
      <c r="J446" s="2349"/>
      <c r="K446" s="2350"/>
      <c r="L446" s="2350"/>
      <c r="M446" s="2281"/>
      <c r="P446" s="2281"/>
    </row>
    <row r="447" spans="1:16">
      <c r="A447" s="2281"/>
      <c r="E447" s="2281"/>
      <c r="I447" s="2281"/>
      <c r="J447" s="2349"/>
      <c r="K447" s="2350"/>
      <c r="L447" s="2350"/>
      <c r="M447" s="2281"/>
      <c r="P447" s="2281"/>
    </row>
    <row r="448" spans="1:16">
      <c r="A448" s="2281"/>
      <c r="E448" s="2281"/>
      <c r="I448" s="2281"/>
      <c r="J448" s="2349"/>
      <c r="K448" s="2350"/>
      <c r="L448" s="2350"/>
      <c r="M448" s="2281"/>
      <c r="P448" s="2281"/>
    </row>
    <row r="449" spans="1:16">
      <c r="A449" s="2281"/>
      <c r="E449" s="2281"/>
      <c r="I449" s="2281"/>
      <c r="J449" s="2349"/>
      <c r="K449" s="2350"/>
      <c r="L449" s="2350"/>
      <c r="M449" s="2281"/>
      <c r="P449" s="2281"/>
    </row>
    <row r="450" spans="1:16">
      <c r="A450" s="2281"/>
      <c r="E450" s="2281"/>
      <c r="I450" s="2281"/>
      <c r="J450" s="2349"/>
      <c r="K450" s="2350"/>
      <c r="L450" s="2350"/>
      <c r="M450" s="2281"/>
      <c r="P450" s="2281"/>
    </row>
    <row r="451" spans="1:16">
      <c r="A451" s="2281"/>
      <c r="E451" s="2281"/>
      <c r="I451" s="2281"/>
      <c r="J451" s="2349"/>
      <c r="K451" s="2350"/>
      <c r="L451" s="2350"/>
      <c r="M451" s="2281"/>
      <c r="P451" s="2281"/>
    </row>
    <row r="452" spans="1:16">
      <c r="A452" s="2281"/>
      <c r="E452" s="2281"/>
      <c r="I452" s="2281"/>
      <c r="J452" s="2349"/>
      <c r="K452" s="2350"/>
      <c r="L452" s="2350"/>
      <c r="M452" s="2281"/>
      <c r="P452" s="2281"/>
    </row>
    <row r="453" spans="1:16">
      <c r="A453" s="2281"/>
      <c r="E453" s="2281"/>
      <c r="I453" s="2281"/>
      <c r="J453" s="2349"/>
      <c r="K453" s="2350"/>
      <c r="L453" s="2350"/>
      <c r="M453" s="2281"/>
      <c r="P453" s="2281"/>
    </row>
    <row r="454" spans="1:16">
      <c r="A454" s="2281"/>
      <c r="E454" s="2281"/>
      <c r="I454" s="2281"/>
      <c r="J454" s="2349"/>
      <c r="K454" s="2350"/>
      <c r="L454" s="2350"/>
      <c r="M454" s="2281"/>
      <c r="P454" s="2281"/>
    </row>
    <row r="455" spans="1:16">
      <c r="A455" s="2281"/>
      <c r="E455" s="2281"/>
      <c r="I455" s="2281"/>
      <c r="J455" s="2349"/>
      <c r="K455" s="2350"/>
      <c r="L455" s="2350"/>
      <c r="M455" s="2281"/>
      <c r="P455" s="2281"/>
    </row>
    <row r="456" spans="1:16">
      <c r="A456" s="2281"/>
      <c r="E456" s="2281"/>
      <c r="I456" s="2281"/>
      <c r="J456" s="2349"/>
      <c r="K456" s="2350"/>
      <c r="L456" s="2350"/>
      <c r="M456" s="2281"/>
      <c r="P456" s="2281"/>
    </row>
    <row r="457" spans="1:16">
      <c r="A457" s="2281"/>
      <c r="E457" s="2281"/>
      <c r="I457" s="2281"/>
      <c r="J457" s="2349"/>
      <c r="K457" s="2350"/>
      <c r="L457" s="2350"/>
      <c r="M457" s="2281"/>
      <c r="P457" s="2281"/>
    </row>
    <row r="458" spans="1:16">
      <c r="A458" s="2281"/>
      <c r="E458" s="2281"/>
      <c r="I458" s="2281"/>
      <c r="J458" s="2349"/>
      <c r="K458" s="2350"/>
      <c r="L458" s="2350"/>
      <c r="M458" s="2281"/>
      <c r="P458" s="2281"/>
    </row>
    <row r="459" spans="1:16">
      <c r="A459" s="2281"/>
      <c r="E459" s="2281"/>
      <c r="I459" s="2281"/>
      <c r="J459" s="2349"/>
      <c r="K459" s="2350"/>
      <c r="L459" s="2350"/>
      <c r="M459" s="2281"/>
      <c r="P459" s="2281"/>
    </row>
    <row r="460" spans="1:16">
      <c r="A460" s="2281"/>
      <c r="E460" s="2281"/>
      <c r="I460" s="2281"/>
      <c r="J460" s="2349"/>
      <c r="K460" s="2350"/>
      <c r="L460" s="2350"/>
      <c r="M460" s="2281"/>
      <c r="P460" s="2281"/>
    </row>
    <row r="461" spans="1:16">
      <c r="A461" s="2281"/>
      <c r="E461" s="2281"/>
      <c r="I461" s="2281"/>
      <c r="J461" s="2349"/>
      <c r="K461" s="2350"/>
      <c r="L461" s="2350"/>
      <c r="M461" s="2281"/>
      <c r="P461" s="2281"/>
    </row>
    <row r="462" spans="1:16">
      <c r="A462" s="2281"/>
      <c r="E462" s="2281"/>
      <c r="I462" s="2281"/>
      <c r="J462" s="2349"/>
      <c r="K462" s="2350"/>
      <c r="L462" s="2350"/>
      <c r="M462" s="2281"/>
      <c r="P462" s="2281"/>
    </row>
    <row r="463" spans="1:16">
      <c r="A463" s="2281"/>
      <c r="E463" s="2281"/>
      <c r="I463" s="2281"/>
      <c r="J463" s="2349"/>
      <c r="K463" s="2350"/>
      <c r="L463" s="2350"/>
      <c r="M463" s="2281"/>
      <c r="P463" s="2281"/>
    </row>
    <row r="464" spans="1:16">
      <c r="A464" s="2281"/>
      <c r="E464" s="2281"/>
      <c r="I464" s="2281"/>
      <c r="J464" s="2349"/>
      <c r="K464" s="2350"/>
      <c r="L464" s="2350"/>
      <c r="M464" s="2281"/>
      <c r="P464" s="2281"/>
    </row>
    <row r="465" spans="1:16">
      <c r="A465" s="2281"/>
      <c r="E465" s="2281"/>
      <c r="I465" s="2281"/>
      <c r="J465" s="2349"/>
      <c r="K465" s="2350"/>
      <c r="L465" s="2350"/>
      <c r="M465" s="2281"/>
      <c r="P465" s="2281"/>
    </row>
    <row r="466" spans="1:16">
      <c r="A466" s="2281"/>
      <c r="E466" s="2281"/>
      <c r="I466" s="2281"/>
      <c r="J466" s="2349"/>
      <c r="K466" s="2350"/>
      <c r="L466" s="2350"/>
      <c r="M466" s="2281"/>
      <c r="P466" s="2281"/>
    </row>
    <row r="467" spans="1:16">
      <c r="A467" s="2281"/>
      <c r="E467" s="2281"/>
      <c r="I467" s="2281"/>
      <c r="J467" s="2349"/>
      <c r="K467" s="2350"/>
      <c r="L467" s="2350"/>
      <c r="M467" s="2281"/>
      <c r="P467" s="2281"/>
    </row>
    <row r="468" spans="1:16">
      <c r="A468" s="2281"/>
      <c r="E468" s="2281"/>
      <c r="I468" s="2281"/>
      <c r="J468" s="2349"/>
      <c r="K468" s="2350"/>
      <c r="L468" s="2350"/>
      <c r="M468" s="2281"/>
      <c r="P468" s="2281"/>
    </row>
    <row r="469" spans="1:16">
      <c r="A469" s="2281"/>
      <c r="E469" s="2281"/>
      <c r="I469" s="2281"/>
      <c r="J469" s="2349"/>
      <c r="K469" s="2350"/>
      <c r="L469" s="2350"/>
      <c r="M469" s="2281"/>
      <c r="P469" s="2281"/>
    </row>
    <row r="470" spans="1:16">
      <c r="A470" s="2281"/>
      <c r="E470" s="2281"/>
      <c r="I470" s="2281"/>
      <c r="J470" s="2349"/>
      <c r="K470" s="2350"/>
      <c r="L470" s="2350"/>
      <c r="M470" s="2281"/>
      <c r="P470" s="2281"/>
    </row>
    <row r="471" spans="1:16">
      <c r="A471" s="2281"/>
      <c r="E471" s="2281"/>
      <c r="I471" s="2281"/>
      <c r="J471" s="2349"/>
      <c r="K471" s="2350"/>
      <c r="L471" s="2350"/>
      <c r="M471" s="2281"/>
      <c r="P471" s="2281"/>
    </row>
    <row r="472" spans="1:16">
      <c r="A472" s="2281"/>
      <c r="E472" s="2281"/>
      <c r="I472" s="2281"/>
      <c r="J472" s="2349"/>
      <c r="K472" s="2350"/>
      <c r="L472" s="2350"/>
      <c r="M472" s="2281"/>
      <c r="P472" s="2281"/>
    </row>
    <row r="473" spans="1:16">
      <c r="A473" s="2281"/>
      <c r="E473" s="2281"/>
      <c r="I473" s="2281"/>
      <c r="J473" s="2349"/>
      <c r="K473" s="2350"/>
      <c r="L473" s="2350"/>
      <c r="M473" s="2281"/>
      <c r="P473" s="2281"/>
    </row>
    <row r="474" spans="1:16">
      <c r="A474" s="2281"/>
      <c r="E474" s="2281"/>
      <c r="I474" s="2281"/>
      <c r="J474" s="2349"/>
      <c r="K474" s="2350"/>
      <c r="L474" s="2350"/>
      <c r="M474" s="2281"/>
      <c r="P474" s="2281"/>
    </row>
    <row r="475" spans="1:16">
      <c r="A475" s="2281"/>
      <c r="E475" s="2281"/>
      <c r="I475" s="2281"/>
      <c r="J475" s="2349"/>
      <c r="K475" s="2350"/>
      <c r="L475" s="2350"/>
      <c r="M475" s="2281"/>
      <c r="P475" s="2281"/>
    </row>
    <row r="476" spans="1:16">
      <c r="A476" s="2281"/>
      <c r="E476" s="2281"/>
      <c r="I476" s="2281"/>
      <c r="J476" s="2349"/>
      <c r="K476" s="2350"/>
      <c r="L476" s="2350"/>
      <c r="M476" s="2281"/>
      <c r="P476" s="2281"/>
    </row>
    <row r="477" spans="1:16">
      <c r="A477" s="2281"/>
      <c r="E477" s="2281"/>
      <c r="I477" s="2281"/>
      <c r="J477" s="2349"/>
      <c r="K477" s="2350"/>
      <c r="L477" s="2350"/>
      <c r="M477" s="2281"/>
      <c r="P477" s="2281"/>
    </row>
    <row r="478" spans="1:16">
      <c r="A478" s="2281"/>
      <c r="E478" s="2281"/>
      <c r="I478" s="2281"/>
      <c r="J478" s="2349"/>
      <c r="K478" s="2350"/>
      <c r="L478" s="2350"/>
      <c r="M478" s="2281"/>
      <c r="P478" s="2281"/>
    </row>
    <row r="479" spans="1:16">
      <c r="A479" s="2281"/>
      <c r="E479" s="2281"/>
      <c r="I479" s="2281"/>
      <c r="J479" s="2349"/>
      <c r="K479" s="2350"/>
      <c r="L479" s="2350"/>
      <c r="M479" s="2281"/>
      <c r="P479" s="2281"/>
    </row>
    <row r="480" spans="1:16">
      <c r="A480" s="2281"/>
      <c r="E480" s="2281"/>
      <c r="I480" s="2281"/>
      <c r="J480" s="2349"/>
      <c r="K480" s="2350"/>
      <c r="L480" s="2350"/>
      <c r="M480" s="2281"/>
      <c r="P480" s="2281"/>
    </row>
    <row r="481" spans="1:16">
      <c r="A481" s="2281"/>
      <c r="E481" s="2281"/>
      <c r="I481" s="2281"/>
      <c r="J481" s="2349"/>
      <c r="K481" s="2350"/>
      <c r="L481" s="2350"/>
      <c r="M481" s="2281"/>
      <c r="P481" s="2281"/>
    </row>
    <row r="482" spans="1:16">
      <c r="A482" s="2281"/>
      <c r="E482" s="2281"/>
      <c r="I482" s="2281"/>
      <c r="J482" s="2349"/>
      <c r="K482" s="2350"/>
      <c r="L482" s="2350"/>
      <c r="M482" s="2281"/>
      <c r="P482" s="2281"/>
    </row>
    <row r="483" spans="1:16">
      <c r="A483" s="2281"/>
      <c r="E483" s="2281"/>
      <c r="I483" s="2281"/>
      <c r="J483" s="2349"/>
      <c r="K483" s="2350"/>
      <c r="L483" s="2350"/>
      <c r="M483" s="2281"/>
      <c r="P483" s="2281"/>
    </row>
    <row r="484" spans="1:16">
      <c r="A484" s="2281"/>
      <c r="E484" s="2281"/>
      <c r="I484" s="2281"/>
      <c r="J484" s="2349"/>
      <c r="K484" s="2350"/>
      <c r="L484" s="2350"/>
      <c r="M484" s="2281"/>
      <c r="P484" s="2281"/>
    </row>
    <row r="485" spans="1:16">
      <c r="A485" s="2281"/>
      <c r="E485" s="2281"/>
      <c r="I485" s="2281"/>
      <c r="J485" s="2349"/>
      <c r="K485" s="2350"/>
      <c r="L485" s="2350"/>
      <c r="M485" s="2281"/>
      <c r="P485" s="2281"/>
    </row>
    <row r="486" spans="1:16">
      <c r="A486" s="2281"/>
      <c r="E486" s="2281"/>
      <c r="I486" s="2281"/>
      <c r="J486" s="2349"/>
      <c r="K486" s="2350"/>
      <c r="L486" s="2350"/>
      <c r="M486" s="2281"/>
      <c r="P486" s="2281"/>
    </row>
    <row r="487" spans="1:16">
      <c r="A487" s="2281"/>
      <c r="E487" s="2281"/>
      <c r="I487" s="2281"/>
      <c r="J487" s="2349"/>
      <c r="K487" s="2350"/>
      <c r="L487" s="2350"/>
      <c r="M487" s="2281"/>
      <c r="P487" s="2281"/>
    </row>
    <row r="488" spans="1:16">
      <c r="A488" s="2281"/>
      <c r="E488" s="2281"/>
      <c r="I488" s="2281"/>
      <c r="J488" s="2349"/>
      <c r="K488" s="2350"/>
      <c r="L488" s="2350"/>
      <c r="M488" s="2281"/>
      <c r="P488" s="2281"/>
    </row>
    <row r="489" spans="1:16">
      <c r="A489" s="2281"/>
      <c r="E489" s="2281"/>
      <c r="I489" s="2281"/>
      <c r="J489" s="2349"/>
      <c r="K489" s="2350"/>
      <c r="L489" s="2350"/>
      <c r="M489" s="2281"/>
      <c r="P489" s="2281"/>
    </row>
    <row r="490" spans="1:16">
      <c r="A490" s="2281"/>
      <c r="E490" s="2281"/>
      <c r="I490" s="2281"/>
      <c r="J490" s="2349"/>
      <c r="K490" s="2350"/>
      <c r="L490" s="2350"/>
      <c r="M490" s="2281"/>
      <c r="P490" s="2281"/>
    </row>
    <row r="491" spans="1:16">
      <c r="A491" s="2281"/>
      <c r="E491" s="2281"/>
      <c r="I491" s="2281"/>
      <c r="J491" s="2349"/>
      <c r="K491" s="2350"/>
      <c r="L491" s="2350"/>
      <c r="M491" s="2281"/>
      <c r="P491" s="2281"/>
    </row>
    <row r="492" spans="1:16">
      <c r="A492" s="2281"/>
      <c r="E492" s="2281"/>
      <c r="I492" s="2281"/>
      <c r="J492" s="2349"/>
      <c r="K492" s="2350"/>
      <c r="L492" s="2350"/>
      <c r="M492" s="2281"/>
      <c r="P492" s="2281"/>
    </row>
    <row r="493" spans="1:16">
      <c r="A493" s="2281"/>
      <c r="E493" s="2281"/>
      <c r="I493" s="2281"/>
      <c r="J493" s="2349"/>
      <c r="K493" s="2350"/>
      <c r="L493" s="2350"/>
      <c r="M493" s="2281"/>
      <c r="P493" s="2281"/>
    </row>
    <row r="494" spans="1:16">
      <c r="A494" s="2281"/>
      <c r="E494" s="2281"/>
      <c r="I494" s="2281"/>
      <c r="J494" s="2349"/>
      <c r="K494" s="2350"/>
      <c r="L494" s="2350"/>
      <c r="M494" s="2281"/>
      <c r="P494" s="2281"/>
    </row>
    <row r="495" spans="1:16">
      <c r="A495" s="2281"/>
      <c r="E495" s="2281"/>
      <c r="I495" s="2281"/>
      <c r="J495" s="2349"/>
      <c r="K495" s="2350"/>
      <c r="L495" s="2350"/>
      <c r="M495" s="2281"/>
      <c r="P495" s="2281"/>
    </row>
    <row r="496" spans="1:16">
      <c r="A496" s="2281"/>
      <c r="E496" s="2281"/>
      <c r="I496" s="2281"/>
      <c r="J496" s="2349"/>
      <c r="K496" s="2350"/>
      <c r="L496" s="2350"/>
      <c r="M496" s="2281"/>
      <c r="P496" s="2281"/>
    </row>
    <row r="497" spans="1:16">
      <c r="A497" s="2281"/>
      <c r="E497" s="2281"/>
      <c r="I497" s="2281"/>
      <c r="J497" s="2349"/>
      <c r="K497" s="2350"/>
      <c r="L497" s="2350"/>
      <c r="M497" s="2281"/>
      <c r="P497" s="2281"/>
    </row>
    <row r="498" spans="1:16">
      <c r="A498" s="2281"/>
      <c r="E498" s="2281"/>
      <c r="I498" s="2281"/>
      <c r="J498" s="2349"/>
      <c r="K498" s="2350"/>
      <c r="L498" s="2350"/>
      <c r="M498" s="2281"/>
      <c r="P498" s="2281"/>
    </row>
    <row r="499" spans="1:16">
      <c r="A499" s="2281"/>
      <c r="E499" s="2281"/>
      <c r="I499" s="2281"/>
      <c r="J499" s="2349"/>
      <c r="K499" s="2350"/>
      <c r="L499" s="2350"/>
      <c r="M499" s="2281"/>
      <c r="P499" s="2281"/>
    </row>
    <row r="500" spans="1:16">
      <c r="A500" s="2281"/>
      <c r="E500" s="2281"/>
      <c r="I500" s="2281"/>
      <c r="J500" s="2349"/>
      <c r="K500" s="2350"/>
      <c r="L500" s="2350"/>
      <c r="M500" s="2281"/>
      <c r="P500" s="2281"/>
    </row>
    <row r="501" spans="1:16">
      <c r="A501" s="2281"/>
      <c r="E501" s="2281"/>
      <c r="I501" s="2281"/>
      <c r="J501" s="2349"/>
      <c r="K501" s="2350"/>
      <c r="L501" s="2350"/>
      <c r="M501" s="2281"/>
      <c r="P501" s="2281"/>
    </row>
    <row r="502" spans="1:16">
      <c r="A502" s="2281"/>
      <c r="E502" s="2281"/>
      <c r="I502" s="2281"/>
      <c r="J502" s="2349"/>
      <c r="K502" s="2350"/>
      <c r="L502" s="2350"/>
      <c r="M502" s="2281"/>
      <c r="P502" s="2281"/>
    </row>
    <row r="503" spans="1:16">
      <c r="A503" s="2281"/>
      <c r="E503" s="2281"/>
      <c r="I503" s="2281"/>
      <c r="J503" s="2349"/>
      <c r="K503" s="2350"/>
      <c r="L503" s="2350"/>
      <c r="M503" s="2281"/>
      <c r="P503" s="2281"/>
    </row>
    <row r="504" spans="1:16">
      <c r="A504" s="2281"/>
      <c r="E504" s="2281"/>
      <c r="I504" s="2281"/>
      <c r="J504" s="2349"/>
      <c r="K504" s="2350"/>
      <c r="L504" s="2350"/>
      <c r="M504" s="2281"/>
      <c r="P504" s="2281"/>
    </row>
    <row r="505" spans="1:16">
      <c r="A505" s="2281"/>
      <c r="E505" s="2281"/>
      <c r="I505" s="2281"/>
      <c r="J505" s="2349"/>
      <c r="K505" s="2350"/>
      <c r="L505" s="2350"/>
      <c r="M505" s="2281"/>
      <c r="P505" s="2281"/>
    </row>
    <row r="506" spans="1:16">
      <c r="A506" s="2281"/>
      <c r="E506" s="2281"/>
      <c r="I506" s="2281"/>
      <c r="J506" s="2349"/>
      <c r="K506" s="2350"/>
      <c r="L506" s="2350"/>
      <c r="M506" s="2281"/>
      <c r="P506" s="2281"/>
    </row>
    <row r="507" spans="1:16">
      <c r="A507" s="2281"/>
      <c r="E507" s="2281"/>
      <c r="I507" s="2281"/>
      <c r="J507" s="2349"/>
      <c r="K507" s="2350"/>
      <c r="L507" s="2350"/>
      <c r="M507" s="2281"/>
      <c r="P507" s="2281"/>
    </row>
    <row r="508" spans="1:16">
      <c r="A508" s="2281"/>
      <c r="E508" s="2281"/>
      <c r="I508" s="2281"/>
      <c r="J508" s="2349"/>
      <c r="K508" s="2350"/>
      <c r="L508" s="2350"/>
      <c r="M508" s="2281"/>
      <c r="P508" s="2281"/>
    </row>
    <row r="509" spans="1:16">
      <c r="A509" s="2281"/>
      <c r="E509" s="2281"/>
      <c r="I509" s="2281"/>
      <c r="J509" s="2349"/>
      <c r="K509" s="2350"/>
      <c r="L509" s="2350"/>
      <c r="M509" s="2281"/>
      <c r="P509" s="2281"/>
    </row>
    <row r="510" spans="1:16">
      <c r="A510" s="2281"/>
      <c r="E510" s="2281"/>
      <c r="I510" s="2281"/>
      <c r="J510" s="2349"/>
      <c r="K510" s="2350"/>
      <c r="L510" s="2350"/>
      <c r="M510" s="2281"/>
      <c r="P510" s="2281"/>
    </row>
    <row r="511" spans="1:16">
      <c r="A511" s="2281"/>
      <c r="E511" s="2281"/>
      <c r="I511" s="2281"/>
      <c r="J511" s="2349"/>
      <c r="K511" s="2350"/>
      <c r="L511" s="2350"/>
      <c r="M511" s="2281"/>
      <c r="P511" s="2281"/>
    </row>
    <row r="512" spans="1:16">
      <c r="A512" s="2281"/>
      <c r="E512" s="2281"/>
      <c r="I512" s="2281"/>
      <c r="J512" s="2349"/>
      <c r="K512" s="2350"/>
      <c r="L512" s="2350"/>
      <c r="M512" s="2281"/>
      <c r="P512" s="2281"/>
    </row>
    <row r="513" spans="1:16">
      <c r="A513" s="2281"/>
      <c r="E513" s="2281"/>
      <c r="I513" s="2281"/>
      <c r="J513" s="2349"/>
      <c r="K513" s="2350"/>
      <c r="L513" s="2350"/>
      <c r="M513" s="2281"/>
      <c r="P513" s="2281"/>
    </row>
    <row r="514" spans="1:16">
      <c r="A514" s="2281"/>
      <c r="E514" s="2281"/>
      <c r="I514" s="2281"/>
      <c r="J514" s="2349"/>
      <c r="K514" s="2350"/>
      <c r="L514" s="2350"/>
      <c r="M514" s="2281"/>
      <c r="P514" s="2281"/>
    </row>
    <row r="515" spans="1:16">
      <c r="A515" s="2281"/>
      <c r="E515" s="2281"/>
      <c r="I515" s="2281"/>
      <c r="J515" s="2349"/>
      <c r="K515" s="2350"/>
      <c r="L515" s="2350"/>
      <c r="M515" s="2281"/>
      <c r="P515" s="2281"/>
    </row>
    <row r="516" spans="1:16">
      <c r="A516" s="2281"/>
      <c r="E516" s="2281"/>
      <c r="I516" s="2281"/>
      <c r="J516" s="2349"/>
      <c r="K516" s="2350"/>
      <c r="L516" s="2350"/>
      <c r="M516" s="2281"/>
      <c r="P516" s="2281"/>
    </row>
    <row r="517" spans="1:16">
      <c r="A517" s="2281"/>
      <c r="E517" s="2281"/>
      <c r="I517" s="2281"/>
      <c r="J517" s="2349"/>
      <c r="K517" s="2350"/>
      <c r="L517" s="2350"/>
      <c r="M517" s="2281"/>
      <c r="P517" s="2281"/>
    </row>
    <row r="518" spans="1:16">
      <c r="A518" s="2281"/>
      <c r="E518" s="2281"/>
      <c r="I518" s="2281"/>
      <c r="J518" s="2349"/>
      <c r="K518" s="2350"/>
      <c r="L518" s="2350"/>
      <c r="M518" s="2281"/>
      <c r="P518" s="2281"/>
    </row>
    <row r="519" spans="1:16">
      <c r="A519" s="2281"/>
      <c r="E519" s="2281"/>
      <c r="I519" s="2281"/>
      <c r="J519" s="2349"/>
      <c r="K519" s="2350"/>
      <c r="L519" s="2350"/>
      <c r="M519" s="2281"/>
      <c r="P519" s="2281"/>
    </row>
    <row r="520" spans="1:16">
      <c r="A520" s="2281"/>
      <c r="E520" s="2281"/>
      <c r="I520" s="2281"/>
      <c r="J520" s="2349"/>
      <c r="K520" s="2350"/>
      <c r="L520" s="2350"/>
      <c r="M520" s="2281"/>
      <c r="P520" s="2281"/>
    </row>
    <row r="521" spans="1:16">
      <c r="A521" s="2281"/>
      <c r="E521" s="2281"/>
      <c r="I521" s="2281"/>
      <c r="J521" s="2349"/>
      <c r="K521" s="2350"/>
      <c r="L521" s="2350"/>
      <c r="M521" s="2281"/>
      <c r="P521" s="2281"/>
    </row>
    <row r="522" spans="1:16">
      <c r="A522" s="2281"/>
      <c r="E522" s="2281"/>
      <c r="I522" s="2281"/>
      <c r="J522" s="2349"/>
      <c r="K522" s="2350"/>
      <c r="L522" s="2350"/>
      <c r="M522" s="2281"/>
      <c r="P522" s="2281"/>
    </row>
    <row r="523" spans="1:16">
      <c r="A523" s="2281"/>
      <c r="E523" s="2281"/>
      <c r="I523" s="2281"/>
      <c r="J523" s="2349"/>
      <c r="K523" s="2350"/>
      <c r="L523" s="2350"/>
      <c r="M523" s="2281"/>
      <c r="P523" s="2281"/>
    </row>
    <row r="524" spans="1:16">
      <c r="A524" s="2281"/>
      <c r="E524" s="2281"/>
      <c r="I524" s="2281"/>
      <c r="J524" s="2349"/>
      <c r="K524" s="2350"/>
      <c r="L524" s="2350"/>
      <c r="M524" s="2281"/>
      <c r="P524" s="2281"/>
    </row>
    <row r="525" spans="1:16">
      <c r="A525" s="2281"/>
      <c r="E525" s="2281"/>
      <c r="I525" s="2281"/>
      <c r="J525" s="2349"/>
      <c r="K525" s="2350"/>
      <c r="L525" s="2350"/>
      <c r="M525" s="2281"/>
      <c r="P525" s="2281"/>
    </row>
    <row r="526" spans="1:16">
      <c r="A526" s="2281"/>
      <c r="E526" s="2281"/>
      <c r="I526" s="2281"/>
      <c r="J526" s="2349"/>
      <c r="K526" s="2350"/>
      <c r="L526" s="2350"/>
      <c r="M526" s="2281"/>
      <c r="P526" s="2281"/>
    </row>
    <row r="527" spans="1:16">
      <c r="A527" s="2281"/>
      <c r="E527" s="2281"/>
      <c r="I527" s="2281"/>
      <c r="J527" s="2349"/>
      <c r="K527" s="2350"/>
      <c r="L527" s="2350"/>
      <c r="M527" s="2281"/>
      <c r="P527" s="2281"/>
    </row>
    <row r="528" spans="1:16">
      <c r="A528" s="2281"/>
      <c r="E528" s="2281"/>
      <c r="I528" s="2281"/>
      <c r="J528" s="2349"/>
      <c r="K528" s="2350"/>
      <c r="L528" s="2350"/>
      <c r="M528" s="2281"/>
      <c r="P528" s="2281"/>
    </row>
    <row r="529" spans="1:16">
      <c r="A529" s="2281"/>
      <c r="E529" s="2281"/>
      <c r="I529" s="2281"/>
      <c r="J529" s="2349"/>
      <c r="K529" s="2350"/>
      <c r="L529" s="2350"/>
      <c r="M529" s="2281"/>
      <c r="P529" s="2281"/>
    </row>
    <row r="530" spans="1:16">
      <c r="A530" s="2281"/>
      <c r="E530" s="2281"/>
      <c r="I530" s="2281"/>
      <c r="J530" s="2349"/>
      <c r="K530" s="2350"/>
      <c r="L530" s="2350"/>
      <c r="M530" s="2281"/>
      <c r="P530" s="2281"/>
    </row>
    <row r="531" spans="1:16">
      <c r="A531" s="2281"/>
      <c r="E531" s="2281"/>
      <c r="I531" s="2281"/>
      <c r="J531" s="2349"/>
      <c r="K531" s="2350"/>
      <c r="L531" s="2350"/>
      <c r="M531" s="2281"/>
      <c r="P531" s="2281"/>
    </row>
    <row r="532" spans="1:16">
      <c r="A532" s="2281"/>
      <c r="E532" s="2281"/>
      <c r="I532" s="2281"/>
      <c r="J532" s="2349"/>
      <c r="K532" s="2350"/>
      <c r="L532" s="2350"/>
      <c r="M532" s="2281"/>
      <c r="P532" s="2281"/>
    </row>
    <row r="533" spans="1:16">
      <c r="A533" s="2281"/>
      <c r="E533" s="2281"/>
      <c r="I533" s="2281"/>
      <c r="J533" s="2349"/>
      <c r="K533" s="2350"/>
      <c r="L533" s="2350"/>
      <c r="M533" s="2281"/>
      <c r="P533" s="2281"/>
    </row>
    <row r="534" spans="1:16">
      <c r="A534" s="2281"/>
      <c r="E534" s="2281"/>
      <c r="I534" s="2281"/>
      <c r="J534" s="2349"/>
      <c r="K534" s="2350"/>
      <c r="L534" s="2350"/>
      <c r="M534" s="2281"/>
      <c r="P534" s="2281"/>
    </row>
    <row r="535" spans="1:16">
      <c r="A535" s="2281"/>
      <c r="E535" s="2281"/>
      <c r="I535" s="2281"/>
      <c r="J535" s="2349"/>
      <c r="K535" s="2350"/>
      <c r="L535" s="2350"/>
      <c r="M535" s="2281"/>
      <c r="P535" s="2281"/>
    </row>
    <row r="536" spans="1:16">
      <c r="A536" s="2281"/>
      <c r="E536" s="2281"/>
      <c r="I536" s="2281"/>
      <c r="J536" s="2349"/>
      <c r="K536" s="2350"/>
      <c r="L536" s="2350"/>
      <c r="M536" s="2281"/>
      <c r="P536" s="2281"/>
    </row>
    <row r="537" spans="1:16">
      <c r="A537" s="2281"/>
      <c r="E537" s="2281"/>
      <c r="I537" s="2281"/>
      <c r="J537" s="2349"/>
      <c r="K537" s="2350"/>
      <c r="L537" s="2350"/>
      <c r="M537" s="2281"/>
      <c r="P537" s="2281"/>
    </row>
    <row r="538" spans="1:16">
      <c r="A538" s="2281"/>
      <c r="E538" s="2281"/>
      <c r="I538" s="2281"/>
      <c r="J538" s="2349"/>
      <c r="K538" s="2350"/>
      <c r="L538" s="2350"/>
      <c r="M538" s="2281"/>
      <c r="P538" s="2281"/>
    </row>
    <row r="539" spans="1:16">
      <c r="A539" s="2281"/>
      <c r="E539" s="2281"/>
      <c r="I539" s="2281"/>
      <c r="J539" s="2349"/>
      <c r="K539" s="2350"/>
      <c r="L539" s="2350"/>
      <c r="M539" s="2281"/>
      <c r="P539" s="2281"/>
    </row>
    <row r="540" spans="1:16">
      <c r="A540" s="2281"/>
      <c r="E540" s="2281"/>
      <c r="I540" s="2281"/>
      <c r="J540" s="2349"/>
      <c r="K540" s="2350"/>
      <c r="L540" s="2350"/>
      <c r="M540" s="2281"/>
      <c r="P540" s="2281"/>
    </row>
    <row r="541" spans="1:16">
      <c r="A541" s="2281"/>
      <c r="E541" s="2281"/>
      <c r="I541" s="2281"/>
      <c r="J541" s="2349"/>
      <c r="K541" s="2350"/>
      <c r="L541" s="2350"/>
      <c r="M541" s="2281"/>
      <c r="P541" s="2281"/>
    </row>
    <row r="542" spans="1:16">
      <c r="A542" s="2281"/>
      <c r="E542" s="2281"/>
      <c r="I542" s="2281"/>
      <c r="J542" s="2349"/>
      <c r="K542" s="2350"/>
      <c r="L542" s="2350"/>
      <c r="M542" s="2281"/>
      <c r="P542" s="2281"/>
    </row>
    <row r="543" spans="1:16">
      <c r="A543" s="2281"/>
      <c r="E543" s="2281"/>
      <c r="I543" s="2281"/>
      <c r="J543" s="2349"/>
      <c r="K543" s="2350"/>
      <c r="L543" s="2350"/>
      <c r="M543" s="2281"/>
      <c r="P543" s="2281"/>
    </row>
    <row r="544" spans="1:16">
      <c r="A544" s="2281"/>
      <c r="E544" s="2281"/>
      <c r="I544" s="2281"/>
      <c r="J544" s="2349"/>
      <c r="K544" s="2350"/>
      <c r="L544" s="2350"/>
      <c r="M544" s="2281"/>
      <c r="P544" s="2281"/>
    </row>
    <row r="545" spans="1:16">
      <c r="A545" s="2281"/>
      <c r="E545" s="2281"/>
      <c r="I545" s="2281"/>
      <c r="J545" s="2349"/>
      <c r="K545" s="2350"/>
      <c r="L545" s="2350"/>
      <c r="M545" s="2281"/>
      <c r="P545" s="2281"/>
    </row>
    <row r="546" spans="1:16">
      <c r="A546" s="2281"/>
      <c r="E546" s="2281"/>
      <c r="I546" s="2281"/>
      <c r="J546" s="2349"/>
      <c r="K546" s="2350"/>
      <c r="L546" s="2350"/>
      <c r="M546" s="2281"/>
      <c r="P546" s="2281"/>
    </row>
    <row r="547" spans="1:16">
      <c r="A547" s="2281"/>
      <c r="E547" s="2281"/>
      <c r="I547" s="2281"/>
      <c r="J547" s="2349"/>
      <c r="K547" s="2350"/>
      <c r="L547" s="2350"/>
      <c r="M547" s="2281"/>
      <c r="P547" s="2281"/>
    </row>
    <row r="548" spans="1:16">
      <c r="A548" s="2281"/>
      <c r="E548" s="2281"/>
      <c r="I548" s="2281"/>
      <c r="J548" s="2349"/>
      <c r="K548" s="2350"/>
      <c r="L548" s="2350"/>
      <c r="M548" s="2281"/>
      <c r="P548" s="2281"/>
    </row>
    <row r="549" spans="1:16">
      <c r="A549" s="2281"/>
      <c r="E549" s="2281"/>
      <c r="I549" s="2281"/>
      <c r="J549" s="2349"/>
      <c r="K549" s="2350"/>
      <c r="L549" s="2350"/>
      <c r="M549" s="2281"/>
      <c r="P549" s="2281"/>
    </row>
    <row r="550" spans="1:16">
      <c r="A550" s="2281"/>
      <c r="E550" s="2281"/>
      <c r="I550" s="2281"/>
      <c r="J550" s="2349"/>
      <c r="K550" s="2350"/>
      <c r="L550" s="2350"/>
      <c r="M550" s="2281"/>
      <c r="P550" s="2281"/>
    </row>
    <row r="551" spans="1:16">
      <c r="A551" s="2281"/>
      <c r="E551" s="2281"/>
      <c r="I551" s="2281"/>
      <c r="J551" s="2349"/>
      <c r="K551" s="2350"/>
      <c r="L551" s="2350"/>
      <c r="M551" s="2281"/>
      <c r="P551" s="2281"/>
    </row>
    <row r="552" spans="1:16">
      <c r="A552" s="2281"/>
      <c r="E552" s="2281"/>
      <c r="I552" s="2281"/>
      <c r="J552" s="2349"/>
      <c r="K552" s="2350"/>
      <c r="L552" s="2350"/>
      <c r="M552" s="2281"/>
      <c r="P552" s="2281"/>
    </row>
    <row r="553" spans="1:16">
      <c r="A553" s="2281"/>
      <c r="E553" s="2281"/>
      <c r="I553" s="2281"/>
      <c r="J553" s="2349"/>
      <c r="K553" s="2350"/>
      <c r="L553" s="2350"/>
      <c r="M553" s="2281"/>
      <c r="P553" s="2281"/>
    </row>
    <row r="554" spans="1:16">
      <c r="A554" s="2281"/>
      <c r="E554" s="2281"/>
      <c r="I554" s="2281"/>
      <c r="J554" s="2349"/>
      <c r="K554" s="2350"/>
      <c r="L554" s="2350"/>
      <c r="M554" s="2281"/>
      <c r="P554" s="2281"/>
    </row>
    <row r="555" spans="1:16">
      <c r="A555" s="2281"/>
      <c r="E555" s="2281"/>
      <c r="I555" s="2281"/>
      <c r="J555" s="2349"/>
      <c r="K555" s="2350"/>
      <c r="L555" s="2350"/>
      <c r="M555" s="2281"/>
      <c r="P555" s="2281"/>
    </row>
    <row r="556" spans="1:16">
      <c r="A556" s="2281"/>
      <c r="E556" s="2281"/>
      <c r="I556" s="2281"/>
      <c r="J556" s="2349"/>
      <c r="K556" s="2350"/>
      <c r="L556" s="2350"/>
      <c r="M556" s="2281"/>
      <c r="P556" s="2281"/>
    </row>
    <row r="557" spans="1:16">
      <c r="A557" s="2281"/>
      <c r="E557" s="2281"/>
      <c r="I557" s="2281"/>
      <c r="J557" s="2349"/>
      <c r="K557" s="2350"/>
      <c r="L557" s="2350"/>
      <c r="M557" s="2281"/>
      <c r="P557" s="2281"/>
    </row>
    <row r="558" spans="1:16">
      <c r="A558" s="2281"/>
      <c r="E558" s="2281"/>
      <c r="I558" s="2281"/>
      <c r="J558" s="2349"/>
      <c r="K558" s="2350"/>
      <c r="L558" s="2350"/>
      <c r="M558" s="2281"/>
      <c r="P558" s="2281"/>
    </row>
    <row r="559" spans="1:16">
      <c r="A559" s="2281"/>
      <c r="E559" s="2281"/>
      <c r="I559" s="2281"/>
      <c r="J559" s="2349"/>
      <c r="K559" s="2350"/>
      <c r="L559" s="2350"/>
      <c r="M559" s="2281"/>
      <c r="P559" s="2281"/>
    </row>
    <row r="560" spans="1:16">
      <c r="A560" s="2281"/>
      <c r="E560" s="2281"/>
      <c r="I560" s="2281"/>
      <c r="J560" s="2349"/>
      <c r="K560" s="2350"/>
      <c r="L560" s="2350"/>
      <c r="M560" s="2281"/>
      <c r="P560" s="2281"/>
    </row>
    <row r="561" spans="1:16">
      <c r="A561" s="2281"/>
      <c r="E561" s="2281"/>
      <c r="I561" s="2281"/>
      <c r="J561" s="2349"/>
      <c r="K561" s="2350"/>
      <c r="L561" s="2350"/>
      <c r="M561" s="2281"/>
      <c r="P561" s="2281"/>
    </row>
    <row r="562" spans="1:16">
      <c r="A562" s="2281"/>
      <c r="E562" s="2281"/>
      <c r="I562" s="2281"/>
      <c r="J562" s="2349"/>
      <c r="K562" s="2350"/>
      <c r="L562" s="2350"/>
      <c r="M562" s="2281"/>
      <c r="P562" s="2281"/>
    </row>
    <row r="563" spans="1:16">
      <c r="A563" s="2281"/>
      <c r="E563" s="2281"/>
      <c r="I563" s="2281"/>
      <c r="J563" s="2349"/>
      <c r="K563" s="2350"/>
      <c r="L563" s="2350"/>
      <c r="M563" s="2281"/>
      <c r="P563" s="2281"/>
    </row>
    <row r="564" spans="1:16">
      <c r="A564" s="2281"/>
      <c r="E564" s="2281"/>
      <c r="I564" s="2281"/>
      <c r="J564" s="2349"/>
      <c r="K564" s="2350"/>
      <c r="L564" s="2350"/>
      <c r="M564" s="2281"/>
      <c r="P564" s="2281"/>
    </row>
    <row r="565" spans="1:16">
      <c r="A565" s="2281"/>
      <c r="E565" s="2281"/>
      <c r="I565" s="2281"/>
      <c r="J565" s="2349"/>
      <c r="K565" s="2350"/>
      <c r="L565" s="2350"/>
      <c r="M565" s="2281"/>
      <c r="P565" s="2281"/>
    </row>
    <row r="566" spans="1:16">
      <c r="A566" s="2281"/>
      <c r="E566" s="2281"/>
      <c r="I566" s="2281"/>
      <c r="J566" s="2349"/>
      <c r="K566" s="2350"/>
      <c r="L566" s="2350"/>
      <c r="M566" s="2281"/>
      <c r="P566" s="2281"/>
    </row>
    <row r="567" spans="1:16">
      <c r="A567" s="2281"/>
      <c r="E567" s="2281"/>
      <c r="I567" s="2281"/>
      <c r="J567" s="2349"/>
      <c r="K567" s="2350"/>
      <c r="L567" s="2350"/>
      <c r="M567" s="2281"/>
      <c r="P567" s="2281"/>
    </row>
    <row r="568" spans="1:16">
      <c r="A568" s="2281"/>
      <c r="E568" s="2281"/>
      <c r="I568" s="2281"/>
      <c r="J568" s="2349"/>
      <c r="K568" s="2350"/>
      <c r="L568" s="2350"/>
      <c r="M568" s="2281"/>
      <c r="P568" s="2281"/>
    </row>
    <row r="569" spans="1:16">
      <c r="A569" s="2281"/>
      <c r="E569" s="2281"/>
      <c r="I569" s="2281"/>
      <c r="J569" s="2349"/>
      <c r="K569" s="2350"/>
      <c r="L569" s="2350"/>
      <c r="M569" s="2281"/>
      <c r="P569" s="2281"/>
    </row>
    <row r="570" spans="1:16">
      <c r="A570" s="2281"/>
      <c r="E570" s="2281"/>
      <c r="I570" s="2281"/>
      <c r="J570" s="2349"/>
      <c r="K570" s="2350"/>
      <c r="L570" s="2350"/>
      <c r="M570" s="2281"/>
      <c r="P570" s="2281"/>
    </row>
    <row r="571" spans="1:16">
      <c r="A571" s="2281"/>
      <c r="E571" s="2281"/>
      <c r="I571" s="2281"/>
      <c r="J571" s="2349"/>
      <c r="K571" s="2350"/>
      <c r="L571" s="2350"/>
      <c r="M571" s="2281"/>
      <c r="P571" s="2281"/>
    </row>
    <row r="572" spans="1:16">
      <c r="A572" s="2281"/>
      <c r="E572" s="2281"/>
      <c r="I572" s="2281"/>
      <c r="J572" s="2349"/>
      <c r="K572" s="2350"/>
      <c r="L572" s="2350"/>
      <c r="M572" s="2281"/>
      <c r="P572" s="2281"/>
    </row>
    <row r="573" spans="1:16">
      <c r="A573" s="2281"/>
      <c r="E573" s="2281"/>
      <c r="I573" s="2281"/>
      <c r="J573" s="2349"/>
      <c r="K573" s="2350"/>
      <c r="L573" s="2350"/>
      <c r="M573" s="2281"/>
      <c r="P573" s="2281"/>
    </row>
    <row r="574" spans="1:16">
      <c r="A574" s="2281"/>
      <c r="E574" s="2281"/>
      <c r="I574" s="2281"/>
      <c r="J574" s="2349"/>
      <c r="K574" s="2350"/>
      <c r="L574" s="2350"/>
      <c r="M574" s="2281"/>
      <c r="P574" s="2281"/>
    </row>
    <row r="575" spans="1:16">
      <c r="A575" s="2281"/>
      <c r="E575" s="2281"/>
      <c r="I575" s="2281"/>
      <c r="J575" s="2349"/>
      <c r="K575" s="2350"/>
      <c r="L575" s="2350"/>
      <c r="M575" s="2281"/>
      <c r="P575" s="2281"/>
    </row>
    <row r="576" spans="1:16">
      <c r="A576" s="2281"/>
      <c r="E576" s="2281"/>
      <c r="I576" s="2281"/>
      <c r="J576" s="2349"/>
      <c r="K576" s="2350"/>
      <c r="L576" s="2350"/>
      <c r="M576" s="2281"/>
      <c r="P576" s="2281"/>
    </row>
    <row r="577" spans="1:16">
      <c r="A577" s="2281"/>
      <c r="E577" s="2281"/>
      <c r="I577" s="2281"/>
      <c r="J577" s="2349"/>
      <c r="K577" s="2350"/>
      <c r="L577" s="2350"/>
      <c r="M577" s="2281"/>
      <c r="P577" s="2281"/>
    </row>
    <row r="578" spans="1:16">
      <c r="A578" s="2281"/>
      <c r="E578" s="2281"/>
      <c r="I578" s="2281"/>
      <c r="J578" s="2349"/>
      <c r="K578" s="2350"/>
      <c r="L578" s="2350"/>
      <c r="M578" s="2281"/>
      <c r="P578" s="2281"/>
    </row>
    <row r="579" spans="1:16">
      <c r="A579" s="2281"/>
      <c r="E579" s="2281"/>
      <c r="I579" s="2281"/>
      <c r="J579" s="2349"/>
      <c r="K579" s="2350"/>
      <c r="L579" s="2350"/>
      <c r="M579" s="2281"/>
      <c r="P579" s="2281"/>
    </row>
    <row r="580" spans="1:16">
      <c r="A580" s="2281"/>
      <c r="E580" s="2281"/>
      <c r="I580" s="2281"/>
      <c r="J580" s="2349"/>
      <c r="K580" s="2350"/>
      <c r="L580" s="2350"/>
      <c r="M580" s="2281"/>
      <c r="P580" s="2281"/>
    </row>
    <row r="581" spans="1:16">
      <c r="A581" s="2281"/>
      <c r="E581" s="2281"/>
      <c r="I581" s="2281"/>
      <c r="J581" s="2349"/>
      <c r="K581" s="2350"/>
      <c r="L581" s="2350"/>
      <c r="M581" s="2281"/>
      <c r="P581" s="2281"/>
    </row>
    <row r="582" spans="1:16">
      <c r="A582" s="2281"/>
      <c r="E582" s="2281"/>
      <c r="I582" s="2281"/>
      <c r="J582" s="2349"/>
      <c r="K582" s="2350"/>
      <c r="L582" s="2350"/>
      <c r="M582" s="2281"/>
      <c r="P582" s="2281"/>
    </row>
    <row r="583" spans="1:16">
      <c r="A583" s="2281"/>
      <c r="E583" s="2281"/>
      <c r="I583" s="2281"/>
      <c r="J583" s="2349"/>
      <c r="K583" s="2350"/>
      <c r="L583" s="2350"/>
      <c r="M583" s="2281"/>
      <c r="P583" s="2281"/>
    </row>
    <row r="584" spans="1:16">
      <c r="A584" s="2281"/>
      <c r="E584" s="2281"/>
      <c r="I584" s="2281"/>
      <c r="J584" s="2349"/>
      <c r="K584" s="2350"/>
      <c r="L584" s="2350"/>
      <c r="M584" s="2281"/>
      <c r="P584" s="2281"/>
    </row>
    <row r="585" spans="1:16">
      <c r="A585" s="2281"/>
      <c r="E585" s="2281"/>
      <c r="I585" s="2281"/>
      <c r="J585" s="2349"/>
      <c r="K585" s="2350"/>
      <c r="L585" s="2350"/>
      <c r="M585" s="2281"/>
      <c r="P585" s="2281"/>
    </row>
    <row r="586" spans="1:16">
      <c r="A586" s="2281"/>
      <c r="E586" s="2281"/>
      <c r="I586" s="2281"/>
      <c r="J586" s="2349"/>
      <c r="K586" s="2350"/>
      <c r="L586" s="2350"/>
      <c r="M586" s="2281"/>
      <c r="P586" s="2281"/>
    </row>
    <row r="587" spans="1:16">
      <c r="A587" s="2281"/>
      <c r="E587" s="2281"/>
      <c r="I587" s="2281"/>
      <c r="J587" s="2349"/>
      <c r="K587" s="2350"/>
      <c r="L587" s="2350"/>
      <c r="M587" s="2281"/>
      <c r="P587" s="2281"/>
    </row>
    <row r="588" spans="1:16">
      <c r="A588" s="2281"/>
      <c r="E588" s="2281"/>
      <c r="I588" s="2281"/>
      <c r="J588" s="2349"/>
      <c r="K588" s="2350"/>
      <c r="L588" s="2350"/>
      <c r="M588" s="2281"/>
      <c r="P588" s="2281"/>
    </row>
    <row r="589" spans="1:16">
      <c r="A589" s="2281"/>
      <c r="E589" s="2281"/>
      <c r="I589" s="2281"/>
      <c r="J589" s="2349"/>
      <c r="K589" s="2350"/>
      <c r="L589" s="2350"/>
      <c r="M589" s="2281"/>
      <c r="P589" s="2281"/>
    </row>
    <row r="590" spans="1:16">
      <c r="A590" s="2281"/>
      <c r="E590" s="2281"/>
      <c r="I590" s="2281"/>
      <c r="J590" s="2349"/>
      <c r="K590" s="2350"/>
      <c r="L590" s="2350"/>
      <c r="M590" s="2281"/>
      <c r="P590" s="2281"/>
    </row>
    <row r="591" spans="1:16">
      <c r="A591" s="2281"/>
      <c r="E591" s="2281"/>
      <c r="I591" s="2281"/>
      <c r="J591" s="2349"/>
      <c r="K591" s="2350"/>
      <c r="L591" s="2350"/>
      <c r="M591" s="2281"/>
      <c r="P591" s="2281"/>
    </row>
    <row r="592" spans="1:16">
      <c r="A592" s="2281"/>
      <c r="E592" s="2281"/>
      <c r="I592" s="2281"/>
      <c r="J592" s="2349"/>
      <c r="K592" s="2350"/>
      <c r="L592" s="2350"/>
      <c r="M592" s="2281"/>
      <c r="P592" s="2281"/>
    </row>
    <row r="593" spans="1:16">
      <c r="A593" s="2281"/>
      <c r="E593" s="2281"/>
      <c r="I593" s="2281"/>
      <c r="J593" s="2349"/>
      <c r="K593" s="2350"/>
      <c r="L593" s="2350"/>
      <c r="M593" s="2281"/>
      <c r="P593" s="2281"/>
    </row>
    <row r="594" spans="1:16">
      <c r="A594" s="2281"/>
      <c r="E594" s="2281"/>
      <c r="I594" s="2281"/>
      <c r="J594" s="2349"/>
      <c r="K594" s="2350"/>
      <c r="L594" s="2350"/>
      <c r="M594" s="2281"/>
      <c r="P594" s="2281"/>
    </row>
    <row r="595" spans="1:16">
      <c r="A595" s="2281"/>
      <c r="E595" s="2281"/>
      <c r="I595" s="2281"/>
      <c r="J595" s="2349"/>
      <c r="K595" s="2350"/>
      <c r="L595" s="2350"/>
      <c r="M595" s="2281"/>
      <c r="P595" s="2281"/>
    </row>
    <row r="596" spans="1:16">
      <c r="A596" s="2281"/>
      <c r="E596" s="2281"/>
      <c r="I596" s="2281"/>
      <c r="J596" s="2349"/>
      <c r="K596" s="2350"/>
      <c r="L596" s="2350"/>
      <c r="M596" s="2281"/>
      <c r="P596" s="2281"/>
    </row>
    <row r="597" spans="1:16">
      <c r="A597" s="2281"/>
      <c r="E597" s="2281"/>
      <c r="I597" s="2281"/>
      <c r="J597" s="2349"/>
      <c r="K597" s="2350"/>
      <c r="L597" s="2350"/>
      <c r="M597" s="2281"/>
      <c r="P597" s="2281"/>
    </row>
    <row r="598" spans="1:16">
      <c r="A598" s="2281"/>
      <c r="E598" s="2281"/>
      <c r="I598" s="2281"/>
      <c r="J598" s="2349"/>
      <c r="K598" s="2350"/>
      <c r="L598" s="2350"/>
      <c r="M598" s="2281"/>
      <c r="P598" s="2281"/>
    </row>
    <row r="599" spans="1:16">
      <c r="A599" s="2281"/>
      <c r="E599" s="2281"/>
      <c r="I599" s="2281"/>
      <c r="J599" s="2349"/>
      <c r="K599" s="2350"/>
      <c r="L599" s="2350"/>
      <c r="M599" s="2281"/>
      <c r="P599" s="2281"/>
    </row>
    <row r="600" spans="1:16">
      <c r="A600" s="2281"/>
      <c r="E600" s="2281"/>
      <c r="I600" s="2281"/>
      <c r="J600" s="2349"/>
      <c r="K600" s="2350"/>
      <c r="L600" s="2350"/>
      <c r="M600" s="2281"/>
      <c r="P600" s="2281"/>
    </row>
    <row r="601" spans="1:16">
      <c r="A601" s="2281"/>
      <c r="E601" s="2281"/>
      <c r="I601" s="2281"/>
      <c r="J601" s="2349"/>
      <c r="K601" s="2350"/>
      <c r="L601" s="2350"/>
      <c r="M601" s="2281"/>
      <c r="P601" s="2281"/>
    </row>
    <row r="602" spans="1:16">
      <c r="A602" s="2281"/>
      <c r="E602" s="2281"/>
      <c r="I602" s="2281"/>
      <c r="J602" s="2349"/>
      <c r="K602" s="2350"/>
      <c r="L602" s="2350"/>
      <c r="M602" s="2281"/>
      <c r="P602" s="2281"/>
    </row>
    <row r="603" spans="1:16">
      <c r="A603" s="2281"/>
      <c r="E603" s="2281"/>
      <c r="I603" s="2281"/>
      <c r="J603" s="2349"/>
      <c r="K603" s="2350"/>
      <c r="L603" s="2350"/>
      <c r="M603" s="2281"/>
      <c r="P603" s="2281"/>
    </row>
    <row r="604" spans="1:16">
      <c r="A604" s="2281"/>
      <c r="E604" s="2281"/>
      <c r="I604" s="2281"/>
      <c r="J604" s="2349"/>
      <c r="K604" s="2350"/>
      <c r="L604" s="2350"/>
      <c r="M604" s="2281"/>
      <c r="P604" s="2281"/>
    </row>
    <row r="605" spans="1:16">
      <c r="A605" s="2281"/>
      <c r="E605" s="2281"/>
      <c r="I605" s="2281"/>
      <c r="J605" s="2349"/>
      <c r="K605" s="2350"/>
      <c r="L605" s="2350"/>
      <c r="M605" s="2281"/>
      <c r="P605" s="2281"/>
    </row>
    <row r="606" spans="1:16">
      <c r="A606" s="2281"/>
      <c r="E606" s="2281"/>
      <c r="I606" s="2281"/>
      <c r="J606" s="2349"/>
      <c r="K606" s="2350"/>
      <c r="L606" s="2350"/>
      <c r="M606" s="2281"/>
      <c r="P606" s="2281"/>
    </row>
    <row r="607" spans="1:16">
      <c r="A607" s="2281"/>
      <c r="E607" s="2281"/>
      <c r="I607" s="2281"/>
      <c r="J607" s="2349"/>
      <c r="K607" s="2350"/>
      <c r="L607" s="2350"/>
      <c r="M607" s="2281"/>
      <c r="P607" s="2281"/>
    </row>
    <row r="608" spans="1:16">
      <c r="A608" s="2281"/>
      <c r="E608" s="2281"/>
      <c r="I608" s="2281"/>
      <c r="J608" s="2349"/>
      <c r="K608" s="2350"/>
      <c r="L608" s="2350"/>
      <c r="M608" s="2281"/>
      <c r="P608" s="2281"/>
    </row>
    <row r="609" spans="1:16">
      <c r="A609" s="2281"/>
      <c r="E609" s="2281"/>
      <c r="I609" s="2281"/>
      <c r="J609" s="2349"/>
      <c r="K609" s="2350"/>
      <c r="L609" s="2350"/>
      <c r="M609" s="2281"/>
      <c r="P609" s="2281"/>
    </row>
    <row r="610" spans="1:16">
      <c r="A610" s="2281"/>
      <c r="E610" s="2281"/>
      <c r="I610" s="2281"/>
      <c r="J610" s="2349"/>
      <c r="K610" s="2350"/>
      <c r="L610" s="2350"/>
      <c r="M610" s="2281"/>
      <c r="P610" s="2281"/>
    </row>
    <row r="611" spans="1:16">
      <c r="A611" s="2281"/>
      <c r="E611" s="2281"/>
      <c r="I611" s="2281"/>
      <c r="J611" s="2349"/>
      <c r="K611" s="2350"/>
      <c r="L611" s="2350"/>
      <c r="M611" s="2281"/>
      <c r="P611" s="2281"/>
    </row>
    <row r="612" spans="1:16">
      <c r="A612" s="2281"/>
      <c r="E612" s="2281"/>
      <c r="I612" s="2281"/>
      <c r="J612" s="2349"/>
      <c r="K612" s="2350"/>
      <c r="L612" s="2350"/>
      <c r="M612" s="2281"/>
      <c r="P612" s="2281"/>
    </row>
    <row r="613" spans="1:16">
      <c r="A613" s="2281"/>
      <c r="E613" s="2281"/>
      <c r="I613" s="2281"/>
      <c r="J613" s="2349"/>
      <c r="K613" s="2350"/>
      <c r="L613" s="2350"/>
      <c r="M613" s="2281"/>
      <c r="P613" s="2281"/>
    </row>
    <row r="614" spans="1:16">
      <c r="A614" s="2281"/>
      <c r="E614" s="2281"/>
      <c r="I614" s="2281"/>
      <c r="J614" s="2349"/>
      <c r="K614" s="2350"/>
      <c r="L614" s="2350"/>
      <c r="M614" s="2281"/>
      <c r="P614" s="2281"/>
    </row>
    <row r="615" spans="1:16">
      <c r="A615" s="2281"/>
      <c r="E615" s="2281"/>
      <c r="I615" s="2281"/>
      <c r="J615" s="2349"/>
      <c r="K615" s="2350"/>
      <c r="L615" s="2350"/>
      <c r="M615" s="2281"/>
      <c r="P615" s="2281"/>
    </row>
    <row r="616" spans="1:16">
      <c r="A616" s="2281"/>
      <c r="E616" s="2281"/>
      <c r="I616" s="2281"/>
      <c r="J616" s="2349"/>
      <c r="K616" s="2350"/>
      <c r="L616" s="2350"/>
      <c r="M616" s="2281"/>
      <c r="P616" s="2281"/>
    </row>
    <row r="617" spans="1:16">
      <c r="A617" s="2281"/>
      <c r="E617" s="2281"/>
      <c r="I617" s="2281"/>
      <c r="J617" s="2349"/>
      <c r="K617" s="2350"/>
      <c r="L617" s="2350"/>
      <c r="M617" s="2281"/>
      <c r="P617" s="2281"/>
    </row>
    <row r="618" spans="1:16">
      <c r="A618" s="2281"/>
      <c r="E618" s="2281"/>
      <c r="I618" s="2281"/>
      <c r="J618" s="2349"/>
      <c r="K618" s="2350"/>
      <c r="L618" s="2350"/>
      <c r="M618" s="2281"/>
      <c r="P618" s="2281"/>
    </row>
    <row r="619" spans="1:16">
      <c r="A619" s="2281"/>
      <c r="E619" s="2281"/>
      <c r="I619" s="2281"/>
      <c r="J619" s="2349"/>
      <c r="K619" s="2350"/>
      <c r="L619" s="2350"/>
      <c r="M619" s="2281"/>
      <c r="P619" s="2281"/>
    </row>
    <row r="620" spans="1:16">
      <c r="A620" s="2281"/>
      <c r="E620" s="2281"/>
      <c r="I620" s="2281"/>
      <c r="J620" s="2349"/>
      <c r="K620" s="2350"/>
      <c r="L620" s="2350"/>
      <c r="M620" s="2281"/>
      <c r="P620" s="2281"/>
    </row>
    <row r="621" spans="1:16">
      <c r="A621" s="2281"/>
      <c r="E621" s="2281"/>
      <c r="I621" s="2281"/>
      <c r="J621" s="2349"/>
      <c r="K621" s="2350"/>
      <c r="L621" s="2350"/>
      <c r="M621" s="2281"/>
      <c r="P621" s="2281"/>
    </row>
    <row r="622" spans="1:16">
      <c r="A622" s="2281"/>
      <c r="E622" s="2281"/>
      <c r="I622" s="2281"/>
      <c r="J622" s="2349"/>
      <c r="K622" s="2350"/>
      <c r="L622" s="2350"/>
      <c r="M622" s="2281"/>
      <c r="P622" s="2281"/>
    </row>
    <row r="623" spans="1:16">
      <c r="A623" s="2281"/>
      <c r="E623" s="2281"/>
      <c r="I623" s="2281"/>
      <c r="J623" s="2349"/>
      <c r="K623" s="2350"/>
      <c r="L623" s="2350"/>
      <c r="M623" s="2281"/>
      <c r="P623" s="2281"/>
    </row>
    <row r="624" spans="1:16">
      <c r="A624" s="2281"/>
      <c r="E624" s="2281"/>
      <c r="I624" s="2281"/>
      <c r="J624" s="2349"/>
      <c r="K624" s="2350"/>
      <c r="L624" s="2350"/>
      <c r="M624" s="2281"/>
      <c r="P624" s="2281"/>
    </row>
    <row r="625" spans="1:16">
      <c r="A625" s="2281"/>
      <c r="E625" s="2281"/>
      <c r="I625" s="2281"/>
      <c r="J625" s="2349"/>
      <c r="K625" s="2350"/>
      <c r="L625" s="2350"/>
      <c r="M625" s="2281"/>
      <c r="P625" s="2281"/>
    </row>
    <row r="626" spans="1:16">
      <c r="A626" s="2281"/>
      <c r="E626" s="2281"/>
      <c r="I626" s="2281"/>
      <c r="J626" s="2349"/>
      <c r="K626" s="2350"/>
      <c r="L626" s="2350"/>
      <c r="M626" s="2281"/>
      <c r="P626" s="2281"/>
    </row>
    <row r="627" spans="1:16">
      <c r="A627" s="2281"/>
      <c r="E627" s="2281"/>
      <c r="I627" s="2281"/>
      <c r="J627" s="2349"/>
      <c r="K627" s="2350"/>
      <c r="L627" s="2350"/>
      <c r="M627" s="2281"/>
      <c r="P627" s="2281"/>
    </row>
    <row r="628" spans="1:16">
      <c r="A628" s="2281"/>
      <c r="E628" s="2281"/>
      <c r="I628" s="2281"/>
      <c r="J628" s="2349"/>
      <c r="K628" s="2350"/>
      <c r="L628" s="2350"/>
      <c r="M628" s="2281"/>
      <c r="P628" s="2281"/>
    </row>
    <row r="629" spans="1:16">
      <c r="A629" s="2281"/>
      <c r="E629" s="2281"/>
      <c r="I629" s="2281"/>
      <c r="J629" s="2349"/>
      <c r="K629" s="2350"/>
      <c r="L629" s="2350"/>
      <c r="M629" s="2281"/>
      <c r="P629" s="2281"/>
    </row>
    <row r="630" spans="1:16">
      <c r="A630" s="2281"/>
      <c r="E630" s="2281"/>
      <c r="I630" s="2281"/>
      <c r="J630" s="2349"/>
      <c r="K630" s="2350"/>
      <c r="L630" s="2350"/>
      <c r="M630" s="2281"/>
      <c r="P630" s="2281"/>
    </row>
    <row r="631" spans="1:16">
      <c r="A631" s="2281"/>
      <c r="E631" s="2281"/>
      <c r="I631" s="2281"/>
      <c r="J631" s="2349"/>
      <c r="K631" s="2350"/>
      <c r="L631" s="2350"/>
      <c r="M631" s="2281"/>
      <c r="P631" s="2281"/>
    </row>
    <row r="632" spans="1:16">
      <c r="A632" s="2281"/>
      <c r="E632" s="2281"/>
      <c r="I632" s="2281"/>
      <c r="J632" s="2349"/>
      <c r="K632" s="2350"/>
      <c r="L632" s="2350"/>
      <c r="M632" s="2281"/>
      <c r="P632" s="2281"/>
    </row>
    <row r="633" spans="1:16">
      <c r="A633" s="2281"/>
      <c r="E633" s="2281"/>
      <c r="I633" s="2281"/>
      <c r="J633" s="2349"/>
      <c r="K633" s="2350"/>
      <c r="L633" s="2350"/>
      <c r="M633" s="2281"/>
      <c r="P633" s="2281"/>
    </row>
    <row r="634" spans="1:16">
      <c r="A634" s="2281"/>
      <c r="E634" s="2281"/>
      <c r="I634" s="2281"/>
      <c r="J634" s="2349"/>
      <c r="K634" s="2350"/>
      <c r="L634" s="2350"/>
      <c r="M634" s="2281"/>
      <c r="P634" s="2281"/>
    </row>
    <row r="635" spans="1:16">
      <c r="A635" s="2281"/>
      <c r="E635" s="2281"/>
      <c r="I635" s="2281"/>
      <c r="J635" s="2349"/>
      <c r="K635" s="2350"/>
      <c r="L635" s="2350"/>
      <c r="M635" s="2281"/>
      <c r="P635" s="2281"/>
    </row>
    <row r="636" spans="1:16">
      <c r="A636" s="2281"/>
      <c r="E636" s="2281"/>
      <c r="I636" s="2281"/>
      <c r="J636" s="2349"/>
      <c r="K636" s="2350"/>
      <c r="L636" s="2350"/>
      <c r="M636" s="2281"/>
      <c r="P636" s="2281"/>
    </row>
    <row r="637" spans="1:16">
      <c r="A637" s="2281"/>
      <c r="E637" s="2281"/>
      <c r="I637" s="2281"/>
      <c r="J637" s="2349"/>
      <c r="K637" s="2350"/>
      <c r="L637" s="2350"/>
      <c r="M637" s="2281"/>
      <c r="P637" s="2281"/>
    </row>
    <row r="638" spans="1:16">
      <c r="A638" s="2281"/>
      <c r="E638" s="2281"/>
      <c r="I638" s="2281"/>
      <c r="J638" s="2349"/>
      <c r="K638" s="2350"/>
      <c r="L638" s="2350"/>
      <c r="M638" s="2281"/>
      <c r="P638" s="2281"/>
    </row>
    <row r="639" spans="1:16">
      <c r="A639" s="2281"/>
      <c r="E639" s="2281"/>
      <c r="I639" s="2281"/>
      <c r="J639" s="2349"/>
      <c r="K639" s="2350"/>
      <c r="L639" s="2350"/>
      <c r="M639" s="2281"/>
      <c r="P639" s="2281"/>
    </row>
    <row r="640" spans="1:16">
      <c r="A640" s="2281"/>
      <c r="E640" s="2281"/>
      <c r="I640" s="2281"/>
      <c r="J640" s="2349"/>
      <c r="K640" s="2350"/>
      <c r="L640" s="2350"/>
      <c r="M640" s="2281"/>
      <c r="P640" s="2281"/>
    </row>
    <row r="641" spans="1:16">
      <c r="A641" s="2281"/>
      <c r="E641" s="2281"/>
      <c r="I641" s="2281"/>
      <c r="J641" s="2349"/>
      <c r="K641" s="2350"/>
      <c r="L641" s="2350"/>
      <c r="M641" s="2281"/>
      <c r="P641" s="2281"/>
    </row>
    <row r="642" spans="1:16">
      <c r="A642" s="2281"/>
      <c r="E642" s="2281"/>
      <c r="I642" s="2281"/>
      <c r="J642" s="2349"/>
      <c r="K642" s="2350"/>
      <c r="L642" s="2350"/>
      <c r="M642" s="2281"/>
      <c r="P642" s="2281"/>
    </row>
    <row r="643" spans="1:16">
      <c r="A643" s="2281"/>
      <c r="E643" s="2281"/>
      <c r="I643" s="2281"/>
      <c r="J643" s="2349"/>
      <c r="K643" s="2350"/>
      <c r="L643" s="2350"/>
      <c r="M643" s="2281"/>
      <c r="P643" s="2281"/>
    </row>
    <row r="644" spans="1:16">
      <c r="A644" s="2281"/>
      <c r="E644" s="2281"/>
      <c r="I644" s="2281"/>
      <c r="J644" s="2349"/>
      <c r="K644" s="2350"/>
      <c r="L644" s="2350"/>
      <c r="M644" s="2281"/>
      <c r="P644" s="2281"/>
    </row>
    <row r="645" spans="1:16">
      <c r="A645" s="2281"/>
      <c r="E645" s="2281"/>
      <c r="I645" s="2281"/>
      <c r="J645" s="2349"/>
      <c r="K645" s="2350"/>
      <c r="L645" s="2350"/>
      <c r="M645" s="2281"/>
      <c r="P645" s="2281"/>
    </row>
    <row r="646" spans="1:16">
      <c r="A646" s="2281"/>
      <c r="E646" s="2281"/>
      <c r="I646" s="2281"/>
      <c r="J646" s="2349"/>
      <c r="K646" s="2350"/>
      <c r="L646" s="2350"/>
      <c r="M646" s="2281"/>
      <c r="P646" s="2281"/>
    </row>
    <row r="647" spans="1:16">
      <c r="A647" s="2281"/>
      <c r="E647" s="2281"/>
      <c r="I647" s="2281"/>
      <c r="J647" s="2349"/>
      <c r="K647" s="2350"/>
      <c r="L647" s="2350"/>
      <c r="M647" s="2281"/>
      <c r="P647" s="2281"/>
    </row>
    <row r="648" spans="1:16">
      <c r="A648" s="2281"/>
      <c r="E648" s="2281"/>
      <c r="I648" s="2281"/>
      <c r="J648" s="2349"/>
      <c r="K648" s="2350"/>
      <c r="L648" s="2350"/>
      <c r="M648" s="2281"/>
      <c r="P648" s="2281"/>
    </row>
    <row r="649" spans="1:16">
      <c r="A649" s="2281"/>
      <c r="E649" s="2281"/>
      <c r="I649" s="2281"/>
      <c r="J649" s="2349"/>
      <c r="K649" s="2350"/>
      <c r="L649" s="2350"/>
      <c r="M649" s="2281"/>
      <c r="P649" s="2281"/>
    </row>
    <row r="650" spans="1:16">
      <c r="A650" s="2281"/>
      <c r="E650" s="2281"/>
      <c r="I650" s="2281"/>
      <c r="J650" s="2349"/>
      <c r="K650" s="2350"/>
      <c r="L650" s="2350"/>
      <c r="M650" s="2281"/>
      <c r="P650" s="2281"/>
    </row>
    <row r="651" spans="1:16">
      <c r="A651" s="2281"/>
      <c r="E651" s="2281"/>
      <c r="I651" s="2281"/>
      <c r="J651" s="2349"/>
      <c r="K651" s="2350"/>
      <c r="L651" s="2350"/>
      <c r="M651" s="2281"/>
      <c r="P651" s="2281"/>
    </row>
    <row r="652" spans="1:16">
      <c r="A652" s="2281"/>
      <c r="E652" s="2281"/>
      <c r="I652" s="2281"/>
      <c r="J652" s="2349"/>
      <c r="K652" s="2350"/>
      <c r="L652" s="2350"/>
      <c r="M652" s="2281"/>
      <c r="P652" s="2281"/>
    </row>
    <row r="653" spans="1:16">
      <c r="A653" s="2281"/>
      <c r="E653" s="2281"/>
      <c r="I653" s="2281"/>
      <c r="J653" s="2349"/>
      <c r="K653" s="2350"/>
      <c r="L653" s="2350"/>
      <c r="M653" s="2281"/>
      <c r="P653" s="2281"/>
    </row>
    <row r="654" spans="1:16">
      <c r="A654" s="2281"/>
      <c r="E654" s="2281"/>
      <c r="I654" s="2281"/>
      <c r="J654" s="2349"/>
      <c r="K654" s="2350"/>
      <c r="L654" s="2350"/>
      <c r="M654" s="2281"/>
      <c r="P654" s="2281"/>
    </row>
    <row r="655" spans="1:16">
      <c r="A655" s="2281"/>
      <c r="E655" s="2281"/>
      <c r="I655" s="2281"/>
      <c r="J655" s="2349"/>
      <c r="K655" s="2350"/>
      <c r="L655" s="2350"/>
      <c r="M655" s="2281"/>
      <c r="P655" s="2281"/>
    </row>
    <row r="656" spans="1:16">
      <c r="A656" s="2281"/>
      <c r="E656" s="2281"/>
      <c r="I656" s="2281"/>
      <c r="J656" s="2349"/>
      <c r="K656" s="2350"/>
      <c r="L656" s="2350"/>
      <c r="M656" s="2281"/>
      <c r="P656" s="2281"/>
    </row>
    <row r="657" spans="1:16">
      <c r="A657" s="2281"/>
      <c r="E657" s="2281"/>
      <c r="I657" s="2281"/>
      <c r="J657" s="2349"/>
      <c r="K657" s="2350"/>
      <c r="L657" s="2350"/>
      <c r="M657" s="2281"/>
      <c r="P657" s="2281"/>
    </row>
    <row r="658" spans="1:16">
      <c r="A658" s="2281"/>
      <c r="E658" s="2281"/>
      <c r="I658" s="2281"/>
      <c r="J658" s="2349"/>
      <c r="K658" s="2350"/>
      <c r="L658" s="2350"/>
      <c r="M658" s="2281"/>
      <c r="P658" s="2281"/>
    </row>
    <row r="659" spans="1:16">
      <c r="A659" s="2281"/>
      <c r="E659" s="2281"/>
      <c r="I659" s="2281"/>
      <c r="J659" s="2349"/>
      <c r="K659" s="2350"/>
      <c r="L659" s="2350"/>
      <c r="M659" s="2281"/>
      <c r="P659" s="2281"/>
    </row>
    <row r="660" spans="1:16">
      <c r="A660" s="2281"/>
      <c r="E660" s="2281"/>
      <c r="I660" s="2281"/>
      <c r="J660" s="2349"/>
      <c r="K660" s="2350"/>
      <c r="L660" s="2350"/>
      <c r="M660" s="2281"/>
      <c r="P660" s="2281"/>
    </row>
    <row r="661" spans="1:16">
      <c r="A661" s="2281"/>
      <c r="E661" s="2281"/>
      <c r="I661" s="2281"/>
      <c r="J661" s="2349"/>
      <c r="K661" s="2350"/>
      <c r="L661" s="2350"/>
      <c r="M661" s="2281"/>
      <c r="P661" s="2281"/>
    </row>
    <row r="662" spans="1:16">
      <c r="A662" s="2281"/>
      <c r="E662" s="2281"/>
      <c r="I662" s="2281"/>
      <c r="J662" s="2349"/>
      <c r="K662" s="2350"/>
      <c r="L662" s="2350"/>
      <c r="M662" s="2281"/>
      <c r="P662" s="2281"/>
    </row>
    <row r="663" spans="1:16">
      <c r="A663" s="2281"/>
      <c r="E663" s="2281"/>
      <c r="I663" s="2281"/>
      <c r="J663" s="2349"/>
      <c r="K663" s="2350"/>
      <c r="L663" s="2350"/>
      <c r="M663" s="2281"/>
      <c r="P663" s="2281"/>
    </row>
    <row r="664" spans="1:16">
      <c r="A664" s="2281"/>
      <c r="E664" s="2281"/>
      <c r="I664" s="2281"/>
      <c r="J664" s="2349"/>
      <c r="K664" s="2350"/>
      <c r="L664" s="2350"/>
      <c r="M664" s="2281"/>
      <c r="P664" s="2281"/>
    </row>
    <row r="665" spans="1:16">
      <c r="A665" s="2281"/>
      <c r="E665" s="2281"/>
      <c r="I665" s="2281"/>
      <c r="J665" s="2349"/>
      <c r="K665" s="2350"/>
      <c r="L665" s="2350"/>
      <c r="M665" s="2281"/>
      <c r="P665" s="2281"/>
    </row>
    <row r="666" spans="1:16">
      <c r="A666" s="2281"/>
      <c r="E666" s="2281"/>
      <c r="I666" s="2281"/>
      <c r="J666" s="2349"/>
      <c r="K666" s="2350"/>
      <c r="L666" s="2350"/>
      <c r="M666" s="2281"/>
      <c r="P666" s="2281"/>
    </row>
    <row r="667" spans="1:16">
      <c r="A667" s="2281"/>
      <c r="E667" s="2281"/>
      <c r="I667" s="2281"/>
      <c r="J667" s="2349"/>
      <c r="K667" s="2350"/>
      <c r="L667" s="2350"/>
      <c r="M667" s="2281"/>
      <c r="P667" s="2281"/>
    </row>
    <row r="668" spans="1:16">
      <c r="A668" s="2281"/>
      <c r="E668" s="2281"/>
      <c r="I668" s="2281"/>
      <c r="J668" s="2349"/>
      <c r="K668" s="2350"/>
      <c r="L668" s="2350"/>
      <c r="M668" s="2281"/>
      <c r="P668" s="2281"/>
    </row>
    <row r="669" spans="1:16">
      <c r="A669" s="2281"/>
      <c r="E669" s="2281"/>
      <c r="I669" s="2281"/>
      <c r="J669" s="2349"/>
      <c r="K669" s="2350"/>
      <c r="L669" s="2350"/>
      <c r="M669" s="2281"/>
      <c r="P669" s="2281"/>
    </row>
    <row r="670" spans="1:16">
      <c r="A670" s="2281"/>
      <c r="E670" s="2281"/>
      <c r="I670" s="2281"/>
      <c r="J670" s="2349"/>
      <c r="K670" s="2350"/>
      <c r="L670" s="2350"/>
      <c r="M670" s="2281"/>
      <c r="P670" s="2281"/>
    </row>
    <row r="671" spans="1:16">
      <c r="A671" s="2281"/>
      <c r="E671" s="2281"/>
      <c r="I671" s="2281"/>
      <c r="J671" s="2349"/>
      <c r="K671" s="2350"/>
      <c r="L671" s="2350"/>
      <c r="M671" s="2281"/>
      <c r="P671" s="2281"/>
    </row>
    <row r="672" spans="1:16">
      <c r="A672" s="2281"/>
      <c r="E672" s="2281"/>
      <c r="I672" s="2281"/>
      <c r="J672" s="2349"/>
      <c r="K672" s="2350"/>
      <c r="L672" s="2350"/>
      <c r="M672" s="2281"/>
      <c r="P672" s="2281"/>
    </row>
    <row r="673" spans="1:16">
      <c r="A673" s="2281"/>
      <c r="E673" s="2281"/>
      <c r="I673" s="2281"/>
      <c r="J673" s="2349"/>
      <c r="K673" s="2350"/>
      <c r="L673" s="2350"/>
      <c r="M673" s="2281"/>
      <c r="P673" s="2281"/>
    </row>
    <row r="674" spans="1:16">
      <c r="A674" s="2281"/>
      <c r="E674" s="2281"/>
      <c r="I674" s="2281"/>
      <c r="J674" s="2349"/>
      <c r="K674" s="2350"/>
      <c r="L674" s="2350"/>
      <c r="M674" s="2281"/>
      <c r="P674" s="2281"/>
    </row>
    <row r="675" spans="1:16">
      <c r="A675" s="2281"/>
      <c r="E675" s="2281"/>
      <c r="I675" s="2281"/>
      <c r="J675" s="2349"/>
      <c r="K675" s="2350"/>
      <c r="L675" s="2350"/>
      <c r="M675" s="2281"/>
      <c r="P675" s="2281"/>
    </row>
    <row r="676" spans="1:16">
      <c r="A676" s="2281"/>
      <c r="E676" s="2281"/>
      <c r="I676" s="2281"/>
      <c r="J676" s="2349"/>
      <c r="K676" s="2350"/>
      <c r="L676" s="2350"/>
      <c r="M676" s="2281"/>
      <c r="P676" s="2281"/>
    </row>
    <row r="677" spans="1:16">
      <c r="A677" s="2281"/>
      <c r="E677" s="2281"/>
      <c r="I677" s="2281"/>
      <c r="J677" s="2349"/>
      <c r="K677" s="2350"/>
      <c r="L677" s="2350"/>
      <c r="M677" s="2281"/>
      <c r="P677" s="2281"/>
    </row>
    <row r="678" spans="1:16">
      <c r="A678" s="2281"/>
      <c r="E678" s="2281"/>
      <c r="I678" s="2281"/>
      <c r="J678" s="2349"/>
      <c r="K678" s="2350"/>
      <c r="L678" s="2350"/>
      <c r="M678" s="2281"/>
      <c r="P678" s="2281"/>
    </row>
    <row r="679" spans="1:16">
      <c r="A679" s="2281"/>
      <c r="E679" s="2281"/>
      <c r="I679" s="2281"/>
      <c r="J679" s="2349"/>
      <c r="K679" s="2350"/>
      <c r="L679" s="2350"/>
      <c r="M679" s="2281"/>
      <c r="P679" s="2281"/>
    </row>
    <row r="680" spans="1:16">
      <c r="A680" s="2281"/>
      <c r="E680" s="2281"/>
      <c r="I680" s="2281"/>
      <c r="J680" s="2349"/>
      <c r="K680" s="2350"/>
      <c r="L680" s="2350"/>
      <c r="M680" s="2281"/>
      <c r="P680" s="2281"/>
    </row>
    <row r="681" spans="1:16">
      <c r="A681" s="2281"/>
      <c r="E681" s="2281"/>
      <c r="I681" s="2281"/>
      <c r="J681" s="2349"/>
      <c r="K681" s="2350"/>
      <c r="L681" s="2350"/>
      <c r="M681" s="2281"/>
      <c r="P681" s="2281"/>
    </row>
    <row r="682" spans="1:16">
      <c r="A682" s="2281"/>
      <c r="E682" s="2281"/>
      <c r="I682" s="2281"/>
      <c r="J682" s="2349"/>
      <c r="K682" s="2350"/>
      <c r="L682" s="2350"/>
      <c r="M682" s="2281"/>
      <c r="P682" s="2281"/>
    </row>
    <row r="683" spans="1:16">
      <c r="A683" s="2281"/>
      <c r="E683" s="2281"/>
      <c r="I683" s="2281"/>
      <c r="J683" s="2349"/>
      <c r="K683" s="2350"/>
      <c r="L683" s="2350"/>
      <c r="M683" s="2281"/>
      <c r="P683" s="2281"/>
    </row>
    <row r="684" spans="1:16">
      <c r="A684" s="2281"/>
      <c r="E684" s="2281"/>
      <c r="I684" s="2281"/>
      <c r="J684" s="2349"/>
      <c r="K684" s="2350"/>
      <c r="L684" s="2350"/>
      <c r="M684" s="2281"/>
      <c r="P684" s="2281"/>
    </row>
    <row r="685" spans="1:16">
      <c r="A685" s="2281"/>
      <c r="E685" s="2281"/>
      <c r="I685" s="2281"/>
      <c r="J685" s="2349"/>
      <c r="K685" s="2350"/>
      <c r="L685" s="2350"/>
      <c r="M685" s="2281"/>
      <c r="P685" s="2281"/>
    </row>
    <row r="686" spans="1:16">
      <c r="A686" s="2281"/>
      <c r="E686" s="2281"/>
      <c r="I686" s="2281"/>
      <c r="J686" s="2349"/>
      <c r="K686" s="2350"/>
      <c r="L686" s="2350"/>
      <c r="M686" s="2281"/>
      <c r="P686" s="2281"/>
    </row>
    <row r="687" spans="1:16">
      <c r="A687" s="2281"/>
      <c r="E687" s="2281"/>
      <c r="I687" s="2281"/>
      <c r="J687" s="2349"/>
      <c r="K687" s="2350"/>
      <c r="L687" s="2350"/>
      <c r="M687" s="2281"/>
      <c r="P687" s="2281"/>
    </row>
    <row r="688" spans="1:16">
      <c r="A688" s="2281"/>
      <c r="E688" s="2281"/>
      <c r="I688" s="2281"/>
      <c r="J688" s="2349"/>
      <c r="K688" s="2350"/>
      <c r="L688" s="2350"/>
      <c r="M688" s="2281"/>
      <c r="P688" s="2281"/>
    </row>
    <row r="689" spans="1:16">
      <c r="A689" s="2281"/>
      <c r="E689" s="2281"/>
      <c r="I689" s="2281"/>
      <c r="J689" s="2349"/>
      <c r="K689" s="2350"/>
      <c r="L689" s="2350"/>
      <c r="M689" s="2281"/>
      <c r="P689" s="2281"/>
    </row>
    <row r="690" spans="1:16">
      <c r="A690" s="2281"/>
      <c r="E690" s="2281"/>
      <c r="I690" s="2281"/>
      <c r="J690" s="2349"/>
      <c r="K690" s="2350"/>
      <c r="L690" s="2350"/>
      <c r="M690" s="2281"/>
      <c r="P690" s="2281"/>
    </row>
    <row r="691" spans="1:16">
      <c r="A691" s="2281"/>
      <c r="E691" s="2281"/>
      <c r="I691" s="2281"/>
      <c r="J691" s="2349"/>
      <c r="K691" s="2350"/>
      <c r="L691" s="2350"/>
      <c r="M691" s="2281"/>
      <c r="P691" s="2281"/>
    </row>
    <row r="692" spans="1:16">
      <c r="A692" s="2281"/>
      <c r="E692" s="2281"/>
      <c r="I692" s="2281"/>
      <c r="J692" s="2349"/>
      <c r="K692" s="2350"/>
      <c r="L692" s="2350"/>
      <c r="M692" s="2281"/>
      <c r="P692" s="2281"/>
    </row>
    <row r="693" spans="1:16">
      <c r="A693" s="2281"/>
      <c r="E693" s="2281"/>
      <c r="I693" s="2281"/>
      <c r="J693" s="2349"/>
      <c r="K693" s="2350"/>
      <c r="L693" s="2350"/>
      <c r="M693" s="2281"/>
      <c r="P693" s="2281"/>
    </row>
    <row r="694" spans="1:16">
      <c r="A694" s="2281"/>
      <c r="E694" s="2281"/>
      <c r="I694" s="2281"/>
      <c r="J694" s="2349"/>
      <c r="K694" s="2350"/>
      <c r="L694" s="2350"/>
      <c r="M694" s="2281"/>
      <c r="P694" s="2281"/>
    </row>
    <row r="695" spans="1:16">
      <c r="A695" s="2281"/>
      <c r="E695" s="2281"/>
      <c r="I695" s="2281"/>
      <c r="J695" s="2349"/>
      <c r="K695" s="2350"/>
      <c r="L695" s="2350"/>
      <c r="M695" s="2281"/>
      <c r="P695" s="2281"/>
    </row>
    <row r="696" spans="1:16">
      <c r="A696" s="2281"/>
      <c r="E696" s="2281"/>
      <c r="I696" s="2281"/>
      <c r="J696" s="2349"/>
      <c r="K696" s="2350"/>
      <c r="L696" s="2350"/>
      <c r="M696" s="2281"/>
      <c r="P696" s="2281"/>
    </row>
    <row r="697" spans="1:16">
      <c r="A697" s="2281"/>
      <c r="E697" s="2281"/>
      <c r="I697" s="2281"/>
      <c r="J697" s="2349"/>
      <c r="K697" s="2350"/>
      <c r="L697" s="2350"/>
      <c r="M697" s="2281"/>
      <c r="P697" s="2281"/>
    </row>
    <row r="698" spans="1:16">
      <c r="A698" s="2281"/>
      <c r="E698" s="2281"/>
      <c r="I698" s="2281"/>
      <c r="J698" s="2349"/>
      <c r="K698" s="2350"/>
      <c r="L698" s="2350"/>
      <c r="M698" s="2281"/>
      <c r="P698" s="2281"/>
    </row>
    <row r="699" spans="1:16">
      <c r="A699" s="2281"/>
      <c r="E699" s="2281"/>
      <c r="I699" s="2281"/>
      <c r="J699" s="2349"/>
      <c r="K699" s="2350"/>
      <c r="L699" s="2350"/>
      <c r="M699" s="2281"/>
      <c r="P699" s="2281"/>
    </row>
    <row r="700" spans="1:16">
      <c r="A700" s="2281"/>
      <c r="E700" s="2281"/>
      <c r="I700" s="2281"/>
      <c r="J700" s="2349"/>
      <c r="K700" s="2350"/>
      <c r="L700" s="2350"/>
      <c r="M700" s="2281"/>
      <c r="P700" s="2281"/>
    </row>
    <row r="701" spans="1:16">
      <c r="A701" s="2281"/>
      <c r="E701" s="2281"/>
      <c r="I701" s="2281"/>
      <c r="J701" s="2349"/>
      <c r="K701" s="2350"/>
      <c r="L701" s="2350"/>
      <c r="M701" s="2281"/>
      <c r="P701" s="2281"/>
    </row>
    <row r="702" spans="1:16">
      <c r="A702" s="2281"/>
      <c r="E702" s="2281"/>
      <c r="I702" s="2281"/>
      <c r="J702" s="2349"/>
      <c r="K702" s="2350"/>
      <c r="L702" s="2350"/>
      <c r="M702" s="2281"/>
      <c r="P702" s="2281"/>
    </row>
    <row r="703" spans="1:16">
      <c r="A703" s="2281"/>
      <c r="E703" s="2281"/>
      <c r="I703" s="2281"/>
      <c r="J703" s="2349"/>
      <c r="K703" s="2350"/>
      <c r="L703" s="2350"/>
      <c r="M703" s="2281"/>
      <c r="P703" s="2281"/>
    </row>
    <row r="704" spans="1:16">
      <c r="A704" s="2281"/>
      <c r="E704" s="2281"/>
      <c r="I704" s="2281"/>
      <c r="J704" s="2349"/>
      <c r="K704" s="2350"/>
      <c r="L704" s="2350"/>
      <c r="M704" s="2281"/>
      <c r="P704" s="2281"/>
    </row>
    <row r="705" spans="1:16">
      <c r="A705" s="2281"/>
      <c r="E705" s="2281"/>
      <c r="I705" s="2281"/>
      <c r="J705" s="2349"/>
      <c r="K705" s="2350"/>
      <c r="L705" s="2350"/>
      <c r="M705" s="2281"/>
      <c r="P705" s="2281"/>
    </row>
    <row r="706" spans="1:16">
      <c r="A706" s="2281"/>
      <c r="E706" s="2281"/>
      <c r="I706" s="2281"/>
      <c r="J706" s="2349"/>
      <c r="K706" s="2350"/>
      <c r="L706" s="2350"/>
      <c r="M706" s="2281"/>
      <c r="P706" s="2281"/>
    </row>
    <row r="707" spans="1:16">
      <c r="A707" s="2281"/>
      <c r="E707" s="2281"/>
      <c r="I707" s="2281"/>
      <c r="J707" s="2349"/>
      <c r="K707" s="2350"/>
      <c r="L707" s="2350"/>
      <c r="M707" s="2281"/>
      <c r="P707" s="2281"/>
    </row>
    <row r="708" spans="1:16">
      <c r="A708" s="2281"/>
      <c r="E708" s="2281"/>
      <c r="I708" s="2281"/>
      <c r="J708" s="2349"/>
      <c r="K708" s="2350"/>
      <c r="L708" s="2350"/>
      <c r="M708" s="2281"/>
      <c r="P708" s="2281"/>
    </row>
    <row r="709" spans="1:16">
      <c r="A709" s="2281"/>
      <c r="E709" s="2281"/>
      <c r="I709" s="2281"/>
      <c r="J709" s="2349"/>
      <c r="K709" s="2350"/>
      <c r="L709" s="2350"/>
      <c r="M709" s="2281"/>
      <c r="P709" s="2281"/>
    </row>
    <row r="710" spans="1:16">
      <c r="A710" s="2281"/>
      <c r="E710" s="2281"/>
      <c r="I710" s="2281"/>
      <c r="J710" s="2349"/>
      <c r="K710" s="2350"/>
      <c r="L710" s="2350"/>
      <c r="M710" s="2281"/>
      <c r="P710" s="2281"/>
    </row>
    <row r="711" spans="1:16">
      <c r="A711" s="2281"/>
      <c r="E711" s="2281"/>
      <c r="I711" s="2281"/>
      <c r="J711" s="2349"/>
      <c r="K711" s="2350"/>
      <c r="L711" s="2350"/>
      <c r="M711" s="2281"/>
      <c r="P711" s="2281"/>
    </row>
    <row r="712" spans="1:16">
      <c r="A712" s="2281"/>
      <c r="E712" s="2281"/>
      <c r="I712" s="2281"/>
      <c r="J712" s="2349"/>
      <c r="K712" s="2350"/>
      <c r="L712" s="2350"/>
      <c r="M712" s="2281"/>
      <c r="P712" s="2281"/>
    </row>
    <row r="713" spans="1:16">
      <c r="A713" s="2281"/>
      <c r="E713" s="2281"/>
      <c r="I713" s="2281"/>
      <c r="J713" s="2349"/>
      <c r="K713" s="2350"/>
      <c r="L713" s="2350"/>
      <c r="M713" s="2281"/>
      <c r="P713" s="2281"/>
    </row>
    <row r="714" spans="1:16">
      <c r="A714" s="2281"/>
      <c r="E714" s="2281"/>
      <c r="I714" s="2281"/>
      <c r="J714" s="2349"/>
      <c r="K714" s="2350"/>
      <c r="L714" s="2350"/>
      <c r="M714" s="2281"/>
      <c r="P714" s="2281"/>
    </row>
    <row r="715" spans="1:16">
      <c r="A715" s="2281"/>
      <c r="E715" s="2281"/>
      <c r="I715" s="2281"/>
      <c r="J715" s="2349"/>
      <c r="K715" s="2350"/>
      <c r="L715" s="2350"/>
      <c r="M715" s="2281"/>
      <c r="P715" s="2281"/>
    </row>
    <row r="716" spans="1:16">
      <c r="A716" s="2281"/>
      <c r="E716" s="2281"/>
      <c r="I716" s="2281"/>
      <c r="J716" s="2349"/>
      <c r="K716" s="2350"/>
      <c r="L716" s="2350"/>
      <c r="M716" s="2281"/>
      <c r="P716" s="2281"/>
    </row>
    <row r="717" spans="1:16">
      <c r="A717" s="2281"/>
      <c r="E717" s="2281"/>
      <c r="I717" s="2281"/>
      <c r="J717" s="2349"/>
      <c r="K717" s="2350"/>
      <c r="L717" s="2350"/>
      <c r="M717" s="2281"/>
      <c r="P717" s="2281"/>
    </row>
    <row r="718" spans="1:16">
      <c r="A718" s="2281"/>
      <c r="E718" s="2281"/>
      <c r="I718" s="2281"/>
      <c r="J718" s="2349"/>
      <c r="K718" s="2350"/>
      <c r="L718" s="2350"/>
      <c r="M718" s="2281"/>
      <c r="P718" s="2281"/>
    </row>
    <row r="719" spans="1:16">
      <c r="A719" s="2281"/>
      <c r="E719" s="2281"/>
      <c r="I719" s="2281"/>
      <c r="J719" s="2349"/>
      <c r="K719" s="2350"/>
      <c r="L719" s="2350"/>
      <c r="M719" s="2281"/>
      <c r="P719" s="2281"/>
    </row>
    <row r="720" spans="1:16">
      <c r="A720" s="2281"/>
      <c r="E720" s="2281"/>
      <c r="I720" s="2281"/>
      <c r="J720" s="2349"/>
      <c r="K720" s="2350"/>
      <c r="L720" s="2350"/>
      <c r="M720" s="2281"/>
      <c r="P720" s="2281"/>
    </row>
    <row r="721" spans="1:16">
      <c r="A721" s="2281"/>
      <c r="E721" s="2281"/>
      <c r="I721" s="2281"/>
      <c r="J721" s="2349"/>
      <c r="K721" s="2350"/>
      <c r="L721" s="2350"/>
      <c r="M721" s="2281"/>
      <c r="P721" s="2281"/>
    </row>
    <row r="722" spans="1:16">
      <c r="A722" s="2281"/>
      <c r="E722" s="2281"/>
      <c r="I722" s="2281"/>
      <c r="J722" s="2349"/>
      <c r="K722" s="2350"/>
      <c r="L722" s="2350"/>
      <c r="M722" s="2281"/>
      <c r="P722" s="2281"/>
    </row>
    <row r="723" spans="1:16">
      <c r="A723" s="2281"/>
      <c r="E723" s="2281"/>
      <c r="I723" s="2281"/>
      <c r="J723" s="2349"/>
      <c r="K723" s="2350"/>
      <c r="L723" s="2350"/>
      <c r="M723" s="2281"/>
      <c r="P723" s="2281"/>
    </row>
    <row r="724" spans="1:16">
      <c r="A724" s="2281"/>
      <c r="E724" s="2281"/>
      <c r="I724" s="2281"/>
      <c r="J724" s="2349"/>
      <c r="K724" s="2350"/>
      <c r="L724" s="2350"/>
      <c r="M724" s="2281"/>
      <c r="P724" s="2281"/>
    </row>
    <row r="725" spans="1:16">
      <c r="A725" s="2281"/>
      <c r="E725" s="2281"/>
      <c r="I725" s="2281"/>
      <c r="J725" s="2349"/>
      <c r="K725" s="2350"/>
      <c r="L725" s="2350"/>
      <c r="M725" s="2281"/>
      <c r="P725" s="2281"/>
    </row>
    <row r="726" spans="1:16">
      <c r="A726" s="2281"/>
      <c r="E726" s="2281"/>
      <c r="I726" s="2281"/>
      <c r="J726" s="2349"/>
      <c r="K726" s="2350"/>
      <c r="L726" s="2350"/>
      <c r="M726" s="2281"/>
      <c r="P726" s="2281"/>
    </row>
    <row r="727" spans="1:16">
      <c r="A727" s="2281"/>
      <c r="E727" s="2281"/>
      <c r="I727" s="2281"/>
      <c r="J727" s="2349"/>
      <c r="K727" s="2350"/>
      <c r="L727" s="2350"/>
      <c r="M727" s="2281"/>
      <c r="P727" s="2281"/>
    </row>
    <row r="728" spans="1:16">
      <c r="A728" s="2281"/>
      <c r="E728" s="2281"/>
      <c r="I728" s="2281"/>
      <c r="J728" s="2349"/>
      <c r="K728" s="2350"/>
      <c r="L728" s="2350"/>
      <c r="M728" s="2281"/>
      <c r="P728" s="2281"/>
    </row>
    <row r="729" spans="1:16">
      <c r="A729" s="2281"/>
      <c r="E729" s="2281"/>
      <c r="I729" s="2281"/>
      <c r="J729" s="2349"/>
      <c r="K729" s="2350"/>
      <c r="L729" s="2350"/>
      <c r="M729" s="2281"/>
      <c r="P729" s="2281"/>
    </row>
    <row r="730" spans="1:16">
      <c r="A730" s="2281"/>
      <c r="E730" s="2281"/>
      <c r="I730" s="2281"/>
      <c r="J730" s="2349"/>
      <c r="K730" s="2350"/>
      <c r="L730" s="2350"/>
      <c r="M730" s="2281"/>
      <c r="P730" s="2281"/>
    </row>
    <row r="731" spans="1:16">
      <c r="A731" s="2281"/>
      <c r="E731" s="2281"/>
      <c r="I731" s="2281"/>
      <c r="J731" s="2349"/>
      <c r="K731" s="2350"/>
      <c r="L731" s="2350"/>
      <c r="M731" s="2281"/>
      <c r="P731" s="2281"/>
    </row>
    <row r="732" spans="1:16">
      <c r="A732" s="2281"/>
      <c r="E732" s="2281"/>
      <c r="I732" s="2281"/>
      <c r="J732" s="2349"/>
      <c r="K732" s="2350"/>
      <c r="L732" s="2350"/>
      <c r="M732" s="2281"/>
      <c r="P732" s="2281"/>
    </row>
    <row r="733" spans="1:16">
      <c r="A733" s="2281"/>
      <c r="E733" s="2281"/>
      <c r="I733" s="2281"/>
      <c r="J733" s="2349"/>
      <c r="K733" s="2350"/>
      <c r="L733" s="2350"/>
      <c r="M733" s="2281"/>
      <c r="P733" s="2281"/>
    </row>
    <row r="734" spans="1:16">
      <c r="A734" s="2281"/>
      <c r="E734" s="2281"/>
      <c r="I734" s="2281"/>
      <c r="J734" s="2349"/>
      <c r="K734" s="2350"/>
      <c r="L734" s="2350"/>
      <c r="M734" s="2281"/>
      <c r="P734" s="2281"/>
    </row>
    <row r="735" spans="1:16">
      <c r="A735" s="2281"/>
      <c r="E735" s="2281"/>
      <c r="I735" s="2281"/>
      <c r="J735" s="2349"/>
      <c r="K735" s="2350"/>
      <c r="L735" s="2350"/>
      <c r="M735" s="2281"/>
      <c r="P735" s="2281"/>
    </row>
    <row r="736" spans="1:16">
      <c r="A736" s="2281"/>
      <c r="E736" s="2281"/>
      <c r="I736" s="2281"/>
      <c r="J736" s="2349"/>
      <c r="K736" s="2350"/>
      <c r="L736" s="2350"/>
      <c r="M736" s="2281"/>
      <c r="P736" s="2281"/>
    </row>
    <row r="737" spans="1:16">
      <c r="A737" s="2281"/>
      <c r="E737" s="2281"/>
      <c r="I737" s="2281"/>
      <c r="J737" s="2349"/>
      <c r="K737" s="2350"/>
      <c r="L737" s="2350"/>
      <c r="M737" s="2281"/>
      <c r="P737" s="2281"/>
    </row>
    <row r="738" spans="1:16">
      <c r="A738" s="2281"/>
      <c r="E738" s="2281"/>
      <c r="I738" s="2281"/>
      <c r="J738" s="2349"/>
      <c r="K738" s="2350"/>
      <c r="L738" s="2350"/>
      <c r="M738" s="2281"/>
      <c r="P738" s="2281"/>
    </row>
    <row r="739" spans="1:16">
      <c r="A739" s="2281"/>
      <c r="E739" s="2281"/>
      <c r="I739" s="2281"/>
      <c r="J739" s="2349"/>
      <c r="K739" s="2350"/>
      <c r="L739" s="2350"/>
      <c r="M739" s="2281"/>
      <c r="P739" s="2281"/>
    </row>
    <row r="740" spans="1:16">
      <c r="A740" s="2281"/>
      <c r="E740" s="2281"/>
      <c r="I740" s="2281"/>
      <c r="J740" s="2349"/>
      <c r="K740" s="2350"/>
      <c r="L740" s="2350"/>
      <c r="M740" s="2281"/>
      <c r="P740" s="2281"/>
    </row>
    <row r="741" spans="1:16">
      <c r="A741" s="2281"/>
      <c r="E741" s="2281"/>
      <c r="I741" s="2281"/>
      <c r="J741" s="2349"/>
      <c r="K741" s="2350"/>
      <c r="L741" s="2350"/>
      <c r="M741" s="2281"/>
      <c r="P741" s="2281"/>
    </row>
    <row r="742" spans="1:16">
      <c r="A742" s="2281"/>
      <c r="E742" s="2281"/>
      <c r="I742" s="2281"/>
      <c r="J742" s="2349"/>
      <c r="K742" s="2350"/>
      <c r="L742" s="2350"/>
      <c r="M742" s="2281"/>
      <c r="P742" s="2281"/>
    </row>
    <row r="743" spans="1:16">
      <c r="A743" s="2281"/>
      <c r="E743" s="2281"/>
      <c r="I743" s="2281"/>
      <c r="J743" s="2349"/>
      <c r="K743" s="2350"/>
      <c r="L743" s="2350"/>
      <c r="M743" s="2281"/>
      <c r="P743" s="2281"/>
    </row>
    <row r="744" spans="1:16">
      <c r="A744" s="2281"/>
      <c r="E744" s="2281"/>
      <c r="I744" s="2281"/>
      <c r="J744" s="2349"/>
      <c r="K744" s="2350"/>
      <c r="L744" s="2350"/>
      <c r="M744" s="2281"/>
      <c r="P744" s="2281"/>
    </row>
    <row r="745" spans="1:16">
      <c r="A745" s="2281"/>
      <c r="E745" s="2281"/>
      <c r="I745" s="2281"/>
      <c r="J745" s="2349"/>
      <c r="K745" s="2350"/>
      <c r="L745" s="2350"/>
      <c r="M745" s="2281"/>
      <c r="P745" s="2281"/>
    </row>
    <row r="746" spans="1:16">
      <c r="A746" s="2281"/>
      <c r="E746" s="2281"/>
      <c r="I746" s="2281"/>
      <c r="J746" s="2349"/>
      <c r="K746" s="2350"/>
      <c r="L746" s="2350"/>
      <c r="M746" s="2281"/>
      <c r="P746" s="2281"/>
    </row>
    <row r="747" spans="1:16">
      <c r="A747" s="2281"/>
      <c r="E747" s="2281"/>
      <c r="I747" s="2281"/>
      <c r="J747" s="2349"/>
      <c r="K747" s="2350"/>
      <c r="L747" s="2350"/>
      <c r="M747" s="2281"/>
      <c r="P747" s="2281"/>
    </row>
    <row r="748" spans="1:16">
      <c r="A748" s="2281"/>
      <c r="E748" s="2281"/>
      <c r="I748" s="2281"/>
      <c r="J748" s="2349"/>
      <c r="K748" s="2350"/>
      <c r="L748" s="2350"/>
      <c r="M748" s="2281"/>
      <c r="P748" s="2281"/>
    </row>
    <row r="749" spans="1:16">
      <c r="A749" s="2281"/>
      <c r="E749" s="2281"/>
      <c r="I749" s="2281"/>
      <c r="J749" s="2349"/>
      <c r="K749" s="2350"/>
      <c r="L749" s="2350"/>
      <c r="M749" s="2281"/>
      <c r="P749" s="2281"/>
    </row>
    <row r="750" spans="1:16">
      <c r="A750" s="2281"/>
      <c r="E750" s="2281"/>
      <c r="I750" s="2281"/>
      <c r="J750" s="2349"/>
      <c r="K750" s="2350"/>
      <c r="L750" s="2350"/>
      <c r="M750" s="2281"/>
      <c r="P750" s="2281"/>
    </row>
    <row r="751" spans="1:16">
      <c r="A751" s="2281"/>
      <c r="E751" s="2281"/>
      <c r="I751" s="2281"/>
      <c r="J751" s="2349"/>
      <c r="K751" s="2350"/>
      <c r="L751" s="2350"/>
      <c r="M751" s="2281"/>
      <c r="P751" s="2281"/>
    </row>
    <row r="752" spans="1:16">
      <c r="A752" s="2281"/>
      <c r="E752" s="2281"/>
      <c r="I752" s="2281"/>
      <c r="J752" s="2349"/>
      <c r="K752" s="2350"/>
      <c r="L752" s="2350"/>
      <c r="M752" s="2281"/>
      <c r="P752" s="2281"/>
    </row>
    <row r="753" spans="1:16">
      <c r="A753" s="2281"/>
      <c r="E753" s="2281"/>
      <c r="I753" s="2281"/>
      <c r="J753" s="2349"/>
      <c r="K753" s="2350"/>
      <c r="L753" s="2350"/>
      <c r="M753" s="2281"/>
      <c r="P753" s="2281"/>
    </row>
    <row r="754" spans="1:16">
      <c r="A754" s="2281"/>
      <c r="E754" s="2281"/>
      <c r="I754" s="2281"/>
      <c r="J754" s="2349"/>
      <c r="K754" s="2350"/>
      <c r="L754" s="2350"/>
      <c r="M754" s="2281"/>
      <c r="P754" s="2281"/>
    </row>
    <row r="755" spans="1:16">
      <c r="A755" s="2281"/>
      <c r="E755" s="2281"/>
      <c r="I755" s="2281"/>
      <c r="J755" s="2349"/>
      <c r="K755" s="2350"/>
      <c r="L755" s="2350"/>
      <c r="M755" s="2281"/>
      <c r="P755" s="2281"/>
    </row>
    <row r="756" spans="1:16">
      <c r="A756" s="2281"/>
      <c r="E756" s="2281"/>
      <c r="I756" s="2281"/>
      <c r="J756" s="2349"/>
      <c r="K756" s="2350"/>
      <c r="L756" s="2350"/>
      <c r="M756" s="2281"/>
      <c r="P756" s="2281"/>
    </row>
    <row r="757" spans="1:16">
      <c r="A757" s="2281"/>
      <c r="E757" s="2281"/>
      <c r="I757" s="2281"/>
      <c r="J757" s="2349"/>
      <c r="K757" s="2350"/>
      <c r="L757" s="2350"/>
      <c r="M757" s="2281"/>
      <c r="P757" s="2281"/>
    </row>
    <row r="758" spans="1:16">
      <c r="A758" s="2281"/>
      <c r="E758" s="2281"/>
      <c r="I758" s="2281"/>
      <c r="J758" s="2349"/>
      <c r="K758" s="2350"/>
      <c r="L758" s="2350"/>
      <c r="M758" s="2281"/>
      <c r="P758" s="2281"/>
    </row>
    <row r="759" spans="1:16">
      <c r="A759" s="2281"/>
      <c r="E759" s="2281"/>
      <c r="I759" s="2281"/>
      <c r="J759" s="2349"/>
      <c r="K759" s="2350"/>
      <c r="L759" s="2350"/>
      <c r="M759" s="2281"/>
      <c r="P759" s="2281"/>
    </row>
    <row r="760" spans="1:16">
      <c r="A760" s="2281"/>
      <c r="E760" s="2281"/>
      <c r="I760" s="2281"/>
      <c r="J760" s="2349"/>
      <c r="K760" s="2350"/>
      <c r="L760" s="2350"/>
      <c r="M760" s="2281"/>
      <c r="P760" s="2281"/>
    </row>
    <row r="761" spans="1:16">
      <c r="A761" s="2281"/>
      <c r="E761" s="2281"/>
      <c r="I761" s="2281"/>
      <c r="J761" s="2349"/>
      <c r="K761" s="2350"/>
      <c r="L761" s="2350"/>
      <c r="M761" s="2281"/>
      <c r="P761" s="2281"/>
    </row>
    <row r="762" spans="1:16">
      <c r="A762" s="2281"/>
      <c r="E762" s="2281"/>
      <c r="I762" s="2281"/>
      <c r="J762" s="2349"/>
      <c r="K762" s="2350"/>
      <c r="L762" s="2350"/>
      <c r="M762" s="2281"/>
      <c r="P762" s="2281"/>
    </row>
    <row r="763" spans="1:16">
      <c r="A763" s="2281"/>
      <c r="E763" s="2281"/>
      <c r="I763" s="2281"/>
      <c r="J763" s="2349"/>
      <c r="K763" s="2350"/>
      <c r="L763" s="2350"/>
      <c r="M763" s="2281"/>
      <c r="P763" s="2281"/>
    </row>
    <row r="764" spans="1:16">
      <c r="A764" s="2281"/>
      <c r="E764" s="2281"/>
      <c r="I764" s="2281"/>
      <c r="J764" s="2349"/>
      <c r="K764" s="2350"/>
      <c r="L764" s="2350"/>
      <c r="M764" s="2281"/>
      <c r="P764" s="2281"/>
    </row>
    <row r="765" spans="1:16">
      <c r="A765" s="2281"/>
      <c r="E765" s="2281"/>
      <c r="I765" s="2281"/>
      <c r="J765" s="2349"/>
      <c r="K765" s="2350"/>
      <c r="L765" s="2350"/>
      <c r="M765" s="2281"/>
      <c r="P765" s="2281"/>
    </row>
    <row r="766" spans="1:16">
      <c r="A766" s="2281"/>
      <c r="E766" s="2281"/>
      <c r="I766" s="2281"/>
      <c r="J766" s="2349"/>
      <c r="K766" s="2350"/>
      <c r="L766" s="2350"/>
      <c r="M766" s="2281"/>
      <c r="P766" s="2281"/>
    </row>
    <row r="767" spans="1:16">
      <c r="A767" s="2281"/>
      <c r="E767" s="2281"/>
      <c r="I767" s="2281"/>
      <c r="J767" s="2349"/>
      <c r="K767" s="2350"/>
      <c r="L767" s="2350"/>
      <c r="M767" s="2281"/>
      <c r="P767" s="2281"/>
    </row>
    <row r="768" spans="1:16">
      <c r="A768" s="2281"/>
      <c r="E768" s="2281"/>
      <c r="I768" s="2281"/>
      <c r="J768" s="2349"/>
      <c r="K768" s="2350"/>
      <c r="L768" s="2350"/>
      <c r="M768" s="2281"/>
      <c r="P768" s="2281"/>
    </row>
    <row r="769" spans="1:16">
      <c r="A769" s="2281"/>
      <c r="E769" s="2281"/>
      <c r="I769" s="2281"/>
      <c r="J769" s="2349"/>
      <c r="K769" s="2350"/>
      <c r="L769" s="2350"/>
      <c r="M769" s="2281"/>
      <c r="P769" s="2281"/>
    </row>
    <row r="770" spans="1:16">
      <c r="A770" s="2281"/>
      <c r="E770" s="2281"/>
      <c r="I770" s="2281"/>
      <c r="J770" s="2349"/>
      <c r="K770" s="2350"/>
      <c r="L770" s="2350"/>
      <c r="M770" s="2281"/>
      <c r="P770" s="2281"/>
    </row>
    <row r="771" spans="1:16">
      <c r="A771" s="2281"/>
      <c r="E771" s="2281"/>
      <c r="I771" s="2281"/>
      <c r="J771" s="2349"/>
      <c r="K771" s="2350"/>
      <c r="L771" s="2350"/>
      <c r="M771" s="2281"/>
      <c r="P771" s="2281"/>
    </row>
    <row r="772" spans="1:16">
      <c r="A772" s="2281"/>
      <c r="E772" s="2281"/>
      <c r="I772" s="2281"/>
      <c r="J772" s="2349"/>
      <c r="K772" s="2350"/>
      <c r="L772" s="2350"/>
      <c r="M772" s="2281"/>
      <c r="P772" s="2281"/>
    </row>
    <row r="773" spans="1:16">
      <c r="A773" s="2281"/>
      <c r="E773" s="2281"/>
      <c r="I773" s="2281"/>
      <c r="J773" s="2349"/>
      <c r="K773" s="2350"/>
      <c r="L773" s="2350"/>
      <c r="M773" s="2281"/>
      <c r="P773" s="2281"/>
    </row>
    <row r="774" spans="1:16">
      <c r="A774" s="2281"/>
      <c r="E774" s="2281"/>
      <c r="I774" s="2281"/>
      <c r="J774" s="2349"/>
      <c r="K774" s="2350"/>
      <c r="L774" s="2350"/>
      <c r="M774" s="2281"/>
      <c r="P774" s="2281"/>
    </row>
    <row r="775" spans="1:16">
      <c r="A775" s="2281"/>
      <c r="E775" s="2281"/>
      <c r="I775" s="2281"/>
      <c r="J775" s="2349"/>
      <c r="K775" s="2350"/>
      <c r="L775" s="2350"/>
      <c r="M775" s="2281"/>
      <c r="P775" s="2281"/>
    </row>
    <row r="776" spans="1:16">
      <c r="A776" s="2281"/>
      <c r="E776" s="2281"/>
      <c r="I776" s="2281"/>
      <c r="J776" s="2349"/>
      <c r="K776" s="2350"/>
      <c r="L776" s="2350"/>
      <c r="M776" s="2281"/>
      <c r="P776" s="2281"/>
    </row>
    <row r="777" spans="1:16">
      <c r="A777" s="2281"/>
      <c r="E777" s="2281"/>
      <c r="I777" s="2281"/>
      <c r="J777" s="2349"/>
      <c r="K777" s="2350"/>
      <c r="L777" s="2350"/>
      <c r="M777" s="2281"/>
      <c r="P777" s="2281"/>
    </row>
    <row r="778" spans="1:16">
      <c r="A778" s="2281"/>
      <c r="E778" s="2281"/>
      <c r="I778" s="2281"/>
      <c r="J778" s="2349"/>
      <c r="K778" s="2350"/>
      <c r="L778" s="2350"/>
      <c r="M778" s="2281"/>
      <c r="P778" s="2281"/>
    </row>
    <row r="779" spans="1:16">
      <c r="A779" s="2281"/>
      <c r="E779" s="2281"/>
      <c r="I779" s="2281"/>
      <c r="J779" s="2349"/>
      <c r="K779" s="2350"/>
      <c r="L779" s="2350"/>
      <c r="M779" s="2281"/>
      <c r="P779" s="2281"/>
    </row>
    <row r="780" spans="1:16">
      <c r="A780" s="2281"/>
      <c r="E780" s="2281"/>
      <c r="I780" s="2281"/>
      <c r="J780" s="2349"/>
      <c r="K780" s="2350"/>
      <c r="L780" s="2350"/>
      <c r="M780" s="2281"/>
      <c r="P780" s="2281"/>
    </row>
    <row r="781" spans="1:16">
      <c r="A781" s="2281"/>
      <c r="E781" s="2281"/>
      <c r="I781" s="2281"/>
      <c r="J781" s="2349"/>
      <c r="K781" s="2350"/>
      <c r="L781" s="2350"/>
      <c r="M781" s="2281"/>
      <c r="P781" s="2281"/>
    </row>
    <row r="782" spans="1:16">
      <c r="A782" s="2281"/>
      <c r="E782" s="2281"/>
      <c r="I782" s="2281"/>
      <c r="J782" s="2349"/>
      <c r="K782" s="2350"/>
      <c r="L782" s="2350"/>
      <c r="M782" s="2281"/>
      <c r="P782" s="2281"/>
    </row>
    <row r="783" spans="1:16">
      <c r="A783" s="2281"/>
      <c r="E783" s="2281"/>
      <c r="I783" s="2281"/>
      <c r="J783" s="2349"/>
      <c r="K783" s="2350"/>
      <c r="L783" s="2350"/>
      <c r="M783" s="2281"/>
      <c r="P783" s="2281"/>
    </row>
    <row r="784" spans="1:16">
      <c r="A784" s="2281"/>
      <c r="E784" s="2281"/>
      <c r="I784" s="2281"/>
      <c r="J784" s="2349"/>
      <c r="K784" s="2350"/>
      <c r="L784" s="2350"/>
      <c r="M784" s="2281"/>
      <c r="P784" s="2281"/>
    </row>
    <row r="785" spans="1:16">
      <c r="A785" s="2281"/>
      <c r="E785" s="2281"/>
      <c r="I785" s="2281"/>
      <c r="J785" s="2349"/>
      <c r="K785" s="2350"/>
      <c r="L785" s="2350"/>
      <c r="M785" s="2281"/>
      <c r="P785" s="2281"/>
    </row>
    <row r="786" spans="1:16">
      <c r="A786" s="2281"/>
      <c r="E786" s="2281"/>
      <c r="I786" s="2281"/>
      <c r="J786" s="2349"/>
      <c r="K786" s="2350"/>
      <c r="L786" s="2350"/>
      <c r="M786" s="2281"/>
      <c r="P786" s="2281"/>
    </row>
    <row r="787" spans="1:16">
      <c r="A787" s="2281"/>
      <c r="E787" s="2281"/>
      <c r="I787" s="2281"/>
      <c r="J787" s="2349"/>
      <c r="K787" s="2350"/>
      <c r="L787" s="2350"/>
      <c r="M787" s="2281"/>
      <c r="P787" s="2281"/>
    </row>
    <row r="788" spans="1:16">
      <c r="A788" s="2281"/>
      <c r="E788" s="2281"/>
      <c r="I788" s="2281"/>
      <c r="J788" s="2349"/>
      <c r="K788" s="2350"/>
      <c r="L788" s="2350"/>
      <c r="M788" s="2281"/>
      <c r="P788" s="2281"/>
    </row>
    <row r="789" spans="1:16">
      <c r="A789" s="2281"/>
      <c r="E789" s="2281"/>
      <c r="I789" s="2281"/>
      <c r="J789" s="2349"/>
      <c r="K789" s="2350"/>
      <c r="L789" s="2350"/>
      <c r="M789" s="2281"/>
      <c r="P789" s="2281"/>
    </row>
    <row r="790" spans="1:16">
      <c r="A790" s="2281"/>
      <c r="E790" s="2281"/>
      <c r="I790" s="2281"/>
      <c r="J790" s="2349"/>
      <c r="K790" s="2350"/>
      <c r="L790" s="2350"/>
      <c r="M790" s="2281"/>
      <c r="P790" s="2281"/>
    </row>
    <row r="791" spans="1:16">
      <c r="A791" s="2281"/>
      <c r="E791" s="2281"/>
      <c r="I791" s="2281"/>
      <c r="J791" s="2349"/>
      <c r="K791" s="2350"/>
      <c r="L791" s="2350"/>
      <c r="M791" s="2281"/>
      <c r="P791" s="2281"/>
    </row>
    <row r="792" spans="1:16">
      <c r="A792" s="2281"/>
      <c r="E792" s="2281"/>
      <c r="I792" s="2281"/>
      <c r="J792" s="2349"/>
      <c r="K792" s="2350"/>
      <c r="L792" s="2350"/>
      <c r="M792" s="2281"/>
      <c r="P792" s="2281"/>
    </row>
    <row r="793" spans="1:16">
      <c r="A793" s="2281"/>
      <c r="E793" s="2281"/>
      <c r="I793" s="2281"/>
      <c r="J793" s="2349"/>
      <c r="K793" s="2350"/>
      <c r="L793" s="2350"/>
      <c r="M793" s="2281"/>
      <c r="P793" s="2281"/>
    </row>
    <row r="794" spans="1:16">
      <c r="A794" s="2281"/>
      <c r="E794" s="2281"/>
      <c r="I794" s="2281"/>
      <c r="J794" s="2349"/>
      <c r="K794" s="2350"/>
      <c r="L794" s="2350"/>
      <c r="M794" s="2281"/>
      <c r="P794" s="2281"/>
    </row>
    <row r="795" spans="1:16">
      <c r="A795" s="2281"/>
      <c r="E795" s="2281"/>
      <c r="I795" s="2281"/>
      <c r="J795" s="2349"/>
      <c r="K795" s="2350"/>
      <c r="L795" s="2350"/>
      <c r="M795" s="2281"/>
      <c r="P795" s="2281"/>
    </row>
    <row r="796" spans="1:16">
      <c r="A796" s="2281"/>
      <c r="E796" s="2281"/>
      <c r="I796" s="2281"/>
      <c r="J796" s="2349"/>
      <c r="K796" s="2350"/>
      <c r="L796" s="2350"/>
      <c r="M796" s="2281"/>
      <c r="P796" s="2281"/>
    </row>
    <row r="797" spans="1:16">
      <c r="A797" s="2281"/>
      <c r="E797" s="2281"/>
      <c r="I797" s="2281"/>
      <c r="J797" s="2349"/>
      <c r="K797" s="2350"/>
      <c r="L797" s="2350"/>
      <c r="M797" s="2281"/>
      <c r="P797" s="2281"/>
    </row>
    <row r="798" spans="1:16">
      <c r="A798" s="2281"/>
      <c r="E798" s="2281"/>
      <c r="I798" s="2281"/>
      <c r="J798" s="2349"/>
      <c r="K798" s="2350"/>
      <c r="L798" s="2350"/>
      <c r="M798" s="2281"/>
      <c r="P798" s="2281"/>
    </row>
    <row r="799" spans="1:16">
      <c r="A799" s="2281"/>
      <c r="E799" s="2281"/>
      <c r="I799" s="2281"/>
      <c r="J799" s="2349"/>
      <c r="K799" s="2350"/>
      <c r="L799" s="2350"/>
      <c r="M799" s="2281"/>
      <c r="P799" s="2281"/>
    </row>
    <row r="800" spans="1:16">
      <c r="A800" s="2281"/>
      <c r="E800" s="2281"/>
      <c r="I800" s="2281"/>
      <c r="J800" s="2349"/>
      <c r="K800" s="2350"/>
      <c r="L800" s="2350"/>
      <c r="M800" s="2281"/>
      <c r="P800" s="2281"/>
    </row>
    <row r="801" spans="1:16">
      <c r="A801" s="2281"/>
      <c r="E801" s="2281"/>
      <c r="I801" s="2281"/>
      <c r="J801" s="2349"/>
      <c r="K801" s="2350"/>
      <c r="L801" s="2350"/>
      <c r="M801" s="2281"/>
      <c r="P801" s="2281"/>
    </row>
    <row r="802" spans="1:16">
      <c r="A802" s="2281"/>
      <c r="E802" s="2281"/>
      <c r="I802" s="2281"/>
      <c r="J802" s="2349"/>
      <c r="K802" s="2350"/>
      <c r="L802" s="2350"/>
      <c r="M802" s="2281"/>
      <c r="P802" s="2281"/>
    </row>
    <row r="803" spans="1:16">
      <c r="A803" s="2281"/>
      <c r="E803" s="2281"/>
      <c r="I803" s="2281"/>
      <c r="J803" s="2349"/>
      <c r="K803" s="2350"/>
      <c r="L803" s="2350"/>
      <c r="M803" s="2281"/>
      <c r="P803" s="2281"/>
    </row>
    <row r="804" spans="1:16">
      <c r="A804" s="2281"/>
      <c r="E804" s="2281"/>
      <c r="I804" s="2281"/>
      <c r="J804" s="2349"/>
      <c r="K804" s="2350"/>
      <c r="L804" s="2350"/>
      <c r="M804" s="2281"/>
      <c r="P804" s="2281"/>
    </row>
    <row r="805" spans="1:16">
      <c r="A805" s="2281"/>
      <c r="E805" s="2281"/>
      <c r="I805" s="2281"/>
      <c r="J805" s="2349"/>
      <c r="K805" s="2350"/>
      <c r="L805" s="2350"/>
      <c r="M805" s="2281"/>
      <c r="P805" s="2281"/>
    </row>
    <row r="806" spans="1:16">
      <c r="A806" s="2281"/>
      <c r="E806" s="2281"/>
      <c r="I806" s="2281"/>
      <c r="J806" s="2349"/>
      <c r="K806" s="2350"/>
      <c r="L806" s="2350"/>
      <c r="M806" s="2281"/>
      <c r="P806" s="2281"/>
    </row>
    <row r="807" spans="1:16">
      <c r="A807" s="2281"/>
      <c r="E807" s="2281"/>
      <c r="I807" s="2281"/>
      <c r="J807" s="2349"/>
      <c r="K807" s="2350"/>
      <c r="L807" s="2350"/>
      <c r="M807" s="2281"/>
      <c r="P807" s="2281"/>
    </row>
    <row r="808" spans="1:16">
      <c r="A808" s="2281"/>
      <c r="E808" s="2281"/>
      <c r="I808" s="2281"/>
      <c r="J808" s="2349"/>
      <c r="K808" s="2350"/>
      <c r="L808" s="2350"/>
      <c r="M808" s="2281"/>
      <c r="P808" s="2281"/>
    </row>
    <row r="809" spans="1:16">
      <c r="A809" s="2281"/>
      <c r="E809" s="2281"/>
      <c r="I809" s="2281"/>
      <c r="J809" s="2349"/>
      <c r="K809" s="2350"/>
      <c r="L809" s="2350"/>
      <c r="M809" s="2281"/>
      <c r="P809" s="2281"/>
    </row>
    <row r="810" spans="1:16">
      <c r="A810" s="2281"/>
      <c r="E810" s="2281"/>
      <c r="I810" s="2281"/>
      <c r="J810" s="2349"/>
      <c r="K810" s="2350"/>
      <c r="L810" s="2350"/>
      <c r="M810" s="2281"/>
      <c r="P810" s="2281"/>
    </row>
    <row r="811" spans="1:16">
      <c r="A811" s="2281"/>
      <c r="E811" s="2281"/>
      <c r="I811" s="2281"/>
      <c r="J811" s="2349"/>
      <c r="K811" s="2350"/>
      <c r="L811" s="2350"/>
      <c r="M811" s="2281"/>
      <c r="P811" s="2281"/>
    </row>
    <row r="812" spans="1:16">
      <c r="A812" s="2281"/>
      <c r="E812" s="2281"/>
      <c r="I812" s="2281"/>
      <c r="J812" s="2349"/>
      <c r="K812" s="2350"/>
      <c r="L812" s="2350"/>
      <c r="M812" s="2281"/>
      <c r="P812" s="2281"/>
    </row>
    <row r="813" spans="1:16">
      <c r="A813" s="2281"/>
      <c r="E813" s="2281"/>
      <c r="I813" s="2281"/>
      <c r="J813" s="2349"/>
      <c r="K813" s="2350"/>
      <c r="L813" s="2350"/>
      <c r="M813" s="2281"/>
      <c r="P813" s="2281"/>
    </row>
    <row r="814" spans="1:16">
      <c r="A814" s="2281"/>
      <c r="E814" s="2281"/>
      <c r="I814" s="2281"/>
      <c r="J814" s="2349"/>
      <c r="K814" s="2350"/>
      <c r="L814" s="2350"/>
      <c r="M814" s="2281"/>
      <c r="P814" s="2281"/>
    </row>
    <row r="815" spans="1:16">
      <c r="A815" s="2281"/>
      <c r="E815" s="2281"/>
      <c r="I815" s="2281"/>
      <c r="J815" s="2349"/>
      <c r="K815" s="2350"/>
      <c r="L815" s="2350"/>
      <c r="M815" s="2281"/>
      <c r="P815" s="2281"/>
    </row>
    <row r="816" spans="1:16">
      <c r="A816" s="2281"/>
      <c r="E816" s="2281"/>
      <c r="I816" s="2281"/>
      <c r="J816" s="2349"/>
      <c r="K816" s="2350"/>
      <c r="L816" s="2350"/>
      <c r="M816" s="2281"/>
      <c r="P816" s="2281"/>
    </row>
    <row r="817" spans="1:16">
      <c r="A817" s="2281"/>
      <c r="E817" s="2281"/>
      <c r="I817" s="2281"/>
      <c r="J817" s="2349"/>
      <c r="K817" s="2350"/>
      <c r="L817" s="2350"/>
      <c r="M817" s="2281"/>
      <c r="P817" s="2281"/>
    </row>
    <row r="818" spans="1:16">
      <c r="A818" s="2281"/>
      <c r="E818" s="2281"/>
      <c r="I818" s="2281"/>
      <c r="J818" s="2349"/>
      <c r="K818" s="2350"/>
      <c r="L818" s="2350"/>
      <c r="M818" s="2281"/>
      <c r="P818" s="2281"/>
    </row>
    <row r="819" spans="1:16">
      <c r="A819" s="2281"/>
      <c r="E819" s="2281"/>
      <c r="I819" s="2281"/>
      <c r="J819" s="2349"/>
      <c r="K819" s="2350"/>
      <c r="L819" s="2350"/>
      <c r="M819" s="2281"/>
      <c r="P819" s="2281"/>
    </row>
    <row r="820" spans="1:16">
      <c r="A820" s="2281"/>
      <c r="E820" s="2281"/>
      <c r="I820" s="2281"/>
      <c r="J820" s="2349"/>
      <c r="K820" s="2350"/>
      <c r="L820" s="2350"/>
      <c r="M820" s="2281"/>
      <c r="P820" s="2281"/>
    </row>
    <row r="821" spans="1:16">
      <c r="A821" s="2281"/>
      <c r="E821" s="2281"/>
      <c r="I821" s="2281"/>
      <c r="J821" s="2349"/>
      <c r="K821" s="2350"/>
      <c r="L821" s="2350"/>
      <c r="M821" s="2281"/>
      <c r="P821" s="2281"/>
    </row>
    <row r="822" spans="1:16">
      <c r="A822" s="2281"/>
      <c r="E822" s="2281"/>
      <c r="I822" s="2281"/>
      <c r="J822" s="2349"/>
      <c r="K822" s="2350"/>
      <c r="L822" s="2350"/>
      <c r="M822" s="2281"/>
      <c r="P822" s="2281"/>
    </row>
    <row r="823" spans="1:16">
      <c r="A823" s="2281"/>
      <c r="E823" s="2281"/>
      <c r="I823" s="2281"/>
      <c r="J823" s="2349"/>
      <c r="K823" s="2350"/>
      <c r="L823" s="2350"/>
      <c r="M823" s="2281"/>
      <c r="P823" s="2281"/>
    </row>
    <row r="824" spans="1:16">
      <c r="A824" s="2281"/>
      <c r="E824" s="2281"/>
      <c r="I824" s="2281"/>
      <c r="J824" s="2349"/>
      <c r="K824" s="2350"/>
      <c r="L824" s="2350"/>
      <c r="M824" s="2281"/>
      <c r="P824" s="2281"/>
    </row>
    <row r="825" spans="1:16">
      <c r="A825" s="2281"/>
      <c r="E825" s="2281"/>
      <c r="I825" s="2281"/>
      <c r="J825" s="2349"/>
      <c r="K825" s="2350"/>
      <c r="L825" s="2350"/>
      <c r="M825" s="2281"/>
      <c r="P825" s="2281"/>
    </row>
    <row r="826" spans="1:16">
      <c r="A826" s="2281"/>
      <c r="E826" s="2281"/>
      <c r="I826" s="2281"/>
      <c r="J826" s="2349"/>
      <c r="K826" s="2350"/>
      <c r="L826" s="2350"/>
      <c r="M826" s="2281"/>
      <c r="P826" s="2281"/>
    </row>
    <row r="827" spans="1:16">
      <c r="A827" s="2281"/>
      <c r="E827" s="2281"/>
      <c r="I827" s="2281"/>
      <c r="J827" s="2349"/>
      <c r="K827" s="2350"/>
      <c r="L827" s="2350"/>
      <c r="M827" s="2281"/>
      <c r="P827" s="2281"/>
    </row>
    <row r="828" spans="1:16">
      <c r="A828" s="2281"/>
      <c r="E828" s="2281"/>
      <c r="I828" s="2281"/>
      <c r="J828" s="2349"/>
      <c r="K828" s="2350"/>
      <c r="L828" s="2350"/>
      <c r="M828" s="2281"/>
      <c r="P828" s="2281"/>
    </row>
    <row r="829" spans="1:16">
      <c r="A829" s="2281"/>
      <c r="E829" s="2281"/>
      <c r="I829" s="2281"/>
      <c r="J829" s="2349"/>
      <c r="K829" s="2350"/>
      <c r="L829" s="2350"/>
      <c r="M829" s="2281"/>
      <c r="P829" s="2281"/>
    </row>
    <row r="830" spans="1:16">
      <c r="A830" s="2281"/>
      <c r="E830" s="2281"/>
      <c r="I830" s="2281"/>
      <c r="J830" s="2349"/>
      <c r="K830" s="2350"/>
      <c r="L830" s="2350"/>
      <c r="M830" s="2281"/>
      <c r="P830" s="2281"/>
    </row>
    <row r="831" spans="1:16">
      <c r="A831" s="2281"/>
      <c r="E831" s="2281"/>
      <c r="I831" s="2281"/>
      <c r="J831" s="2349"/>
      <c r="K831" s="2350"/>
      <c r="L831" s="2350"/>
      <c r="M831" s="2281"/>
      <c r="P831" s="2281"/>
    </row>
    <row r="832" spans="1:16">
      <c r="A832" s="2281"/>
      <c r="E832" s="2281"/>
      <c r="I832" s="2281"/>
      <c r="J832" s="2349"/>
      <c r="K832" s="2350"/>
      <c r="L832" s="2350"/>
      <c r="M832" s="2281"/>
      <c r="P832" s="2281"/>
    </row>
    <row r="833" spans="1:16">
      <c r="A833" s="2281"/>
      <c r="E833" s="2281"/>
      <c r="I833" s="2281"/>
      <c r="J833" s="2349"/>
      <c r="K833" s="2350"/>
      <c r="L833" s="2350"/>
      <c r="M833" s="2281"/>
      <c r="P833" s="2281"/>
    </row>
    <row r="834" spans="1:16">
      <c r="A834" s="2281"/>
      <c r="E834" s="2281"/>
      <c r="I834" s="2281"/>
      <c r="J834" s="2349"/>
      <c r="K834" s="2350"/>
      <c r="L834" s="2350"/>
      <c r="M834" s="2281"/>
      <c r="P834" s="2281"/>
    </row>
    <row r="835" spans="1:16">
      <c r="A835" s="2281"/>
      <c r="E835" s="2281"/>
      <c r="I835" s="2281"/>
      <c r="J835" s="2349"/>
      <c r="K835" s="2350"/>
      <c r="L835" s="2350"/>
      <c r="M835" s="2281"/>
      <c r="P835" s="2281"/>
    </row>
    <row r="836" spans="1:16">
      <c r="A836" s="2281"/>
      <c r="E836" s="2281"/>
      <c r="I836" s="2281"/>
      <c r="J836" s="2349"/>
      <c r="K836" s="2350"/>
      <c r="L836" s="2350"/>
      <c r="M836" s="2281"/>
      <c r="P836" s="2281"/>
    </row>
    <row r="837" spans="1:16">
      <c r="A837" s="2281"/>
      <c r="E837" s="2281"/>
      <c r="I837" s="2281"/>
      <c r="J837" s="2349"/>
      <c r="K837" s="2350"/>
      <c r="L837" s="2350"/>
      <c r="M837" s="2281"/>
      <c r="P837" s="2281"/>
    </row>
    <row r="838" spans="1:16">
      <c r="A838" s="2281"/>
      <c r="E838" s="2281"/>
      <c r="I838" s="2281"/>
      <c r="J838" s="2349"/>
      <c r="K838" s="2350"/>
      <c r="L838" s="2350"/>
      <c r="M838" s="2281"/>
      <c r="P838" s="2281"/>
    </row>
    <row r="839" spans="1:16">
      <c r="A839" s="2281"/>
      <c r="E839" s="2281"/>
      <c r="I839" s="2281"/>
      <c r="J839" s="2349"/>
      <c r="K839" s="2350"/>
      <c r="L839" s="2350"/>
      <c r="M839" s="2281"/>
      <c r="P839" s="2281"/>
    </row>
    <row r="840" spans="1:16">
      <c r="A840" s="2281"/>
      <c r="E840" s="2281"/>
      <c r="I840" s="2281"/>
      <c r="J840" s="2349"/>
      <c r="K840" s="2350"/>
      <c r="L840" s="2350"/>
      <c r="M840" s="2281"/>
      <c r="P840" s="2281"/>
    </row>
    <row r="841" spans="1:16">
      <c r="A841" s="2281"/>
      <c r="E841" s="2281"/>
      <c r="I841" s="2281"/>
      <c r="J841" s="2349"/>
      <c r="K841" s="2350"/>
      <c r="L841" s="2350"/>
      <c r="M841" s="2281"/>
      <c r="P841" s="2281"/>
    </row>
    <row r="842" spans="1:16">
      <c r="A842" s="2281"/>
      <c r="E842" s="2281"/>
      <c r="I842" s="2281"/>
      <c r="J842" s="2349"/>
      <c r="K842" s="2350"/>
      <c r="L842" s="2350"/>
      <c r="M842" s="2281"/>
      <c r="P842" s="2281"/>
    </row>
    <row r="843" spans="1:16">
      <c r="A843" s="2281"/>
      <c r="E843" s="2281"/>
      <c r="I843" s="2281"/>
      <c r="J843" s="2349"/>
      <c r="K843" s="2350"/>
      <c r="L843" s="2350"/>
      <c r="M843" s="2281"/>
      <c r="P843" s="2281"/>
    </row>
    <row r="844" spans="1:16">
      <c r="A844" s="2281"/>
      <c r="E844" s="2281"/>
      <c r="I844" s="2281"/>
      <c r="J844" s="2349"/>
      <c r="K844" s="2350"/>
      <c r="L844" s="2350"/>
      <c r="M844" s="2281"/>
      <c r="P844" s="2281"/>
    </row>
    <row r="845" spans="1:16">
      <c r="A845" s="2281"/>
      <c r="E845" s="2281"/>
      <c r="I845" s="2281"/>
      <c r="J845" s="2349"/>
      <c r="K845" s="2350"/>
      <c r="L845" s="2350"/>
      <c r="M845" s="2281"/>
      <c r="P845" s="2281"/>
    </row>
    <row r="846" spans="1:16">
      <c r="A846" s="2281"/>
      <c r="E846" s="2281"/>
      <c r="I846" s="2281"/>
      <c r="J846" s="2351"/>
      <c r="K846" s="2350"/>
      <c r="L846" s="2350"/>
      <c r="M846" s="2281"/>
      <c r="P846" s="2281"/>
    </row>
    <row r="847" spans="1:16">
      <c r="A847" s="2281"/>
      <c r="E847" s="2281"/>
      <c r="I847" s="2281"/>
      <c r="J847" s="2351"/>
      <c r="K847" s="2350"/>
      <c r="L847" s="2350"/>
      <c r="M847" s="2281"/>
      <c r="P847" s="2281"/>
    </row>
    <row r="848" spans="1:16">
      <c r="A848" s="2281"/>
      <c r="E848" s="2281"/>
      <c r="I848" s="2281"/>
      <c r="J848" s="2351"/>
      <c r="K848" s="2350"/>
      <c r="L848" s="2350"/>
      <c r="M848" s="2281"/>
      <c r="P848" s="2281"/>
    </row>
    <row r="849" spans="1:16">
      <c r="A849" s="2281"/>
      <c r="E849" s="2281"/>
      <c r="I849" s="2281"/>
      <c r="J849" s="2351"/>
      <c r="K849" s="2350"/>
      <c r="L849" s="2350"/>
      <c r="M849" s="2281"/>
      <c r="P849" s="2281"/>
    </row>
    <row r="850" spans="1:16">
      <c r="A850" s="2281"/>
      <c r="E850" s="2281"/>
      <c r="I850" s="2281"/>
      <c r="J850" s="2351"/>
      <c r="K850" s="2350"/>
      <c r="L850" s="2350"/>
      <c r="M850" s="2281"/>
      <c r="P850" s="2281"/>
    </row>
    <row r="851" spans="1:16">
      <c r="A851" s="2281"/>
      <c r="E851" s="2281"/>
      <c r="I851" s="2281"/>
      <c r="J851" s="2351"/>
      <c r="K851" s="2350"/>
      <c r="L851" s="2350"/>
      <c r="M851" s="2281"/>
      <c r="P851" s="2281"/>
    </row>
    <row r="852" spans="1:16">
      <c r="A852" s="2281"/>
      <c r="E852" s="2281"/>
      <c r="I852" s="2281"/>
      <c r="J852" s="2351"/>
      <c r="K852" s="2350"/>
      <c r="L852" s="2350"/>
      <c r="M852" s="2281"/>
      <c r="P852" s="2281"/>
    </row>
    <row r="853" spans="1:16">
      <c r="A853" s="2281"/>
      <c r="E853" s="2281"/>
      <c r="I853" s="2281"/>
      <c r="J853" s="2351"/>
      <c r="K853" s="2350"/>
      <c r="L853" s="2350"/>
      <c r="M853" s="2281"/>
      <c r="P853" s="2281"/>
    </row>
    <row r="854" spans="1:16">
      <c r="A854" s="2281"/>
      <c r="E854" s="2281"/>
      <c r="I854" s="2281"/>
      <c r="J854" s="2351"/>
      <c r="K854" s="2350"/>
      <c r="L854" s="2350"/>
      <c r="M854" s="2281"/>
      <c r="P854" s="2281"/>
    </row>
    <row r="855" spans="1:16">
      <c r="A855" s="2281"/>
      <c r="E855" s="2281"/>
      <c r="I855" s="2281"/>
      <c r="J855" s="2351"/>
      <c r="K855" s="2350"/>
      <c r="L855" s="2350"/>
      <c r="M855" s="2281"/>
      <c r="P855" s="2281"/>
    </row>
    <row r="856" spans="1:16">
      <c r="A856" s="2281"/>
      <c r="E856" s="2281"/>
      <c r="I856" s="2281"/>
      <c r="J856" s="2351"/>
      <c r="K856" s="2350"/>
      <c r="L856" s="2350"/>
      <c r="M856" s="2281"/>
      <c r="P856" s="2281"/>
    </row>
    <row r="857" spans="1:16">
      <c r="A857" s="2281"/>
      <c r="E857" s="2281"/>
      <c r="I857" s="2281"/>
      <c r="J857" s="2351"/>
      <c r="K857" s="2350"/>
      <c r="L857" s="2350"/>
      <c r="M857" s="2281"/>
      <c r="P857" s="2281"/>
    </row>
    <row r="858" spans="1:16">
      <c r="A858" s="2281"/>
      <c r="E858" s="2281"/>
      <c r="I858" s="2281"/>
      <c r="J858" s="2351"/>
      <c r="K858" s="2350"/>
      <c r="L858" s="2350"/>
      <c r="M858" s="2281"/>
      <c r="P858" s="2281"/>
    </row>
    <row r="859" spans="1:16">
      <c r="A859" s="2281"/>
      <c r="E859" s="2281"/>
      <c r="I859" s="2281"/>
      <c r="J859" s="2351"/>
      <c r="K859" s="2350"/>
      <c r="L859" s="2350"/>
      <c r="M859" s="2281"/>
      <c r="P859" s="2281"/>
    </row>
    <row r="860" spans="1:16">
      <c r="A860" s="2281"/>
      <c r="E860" s="2281"/>
      <c r="I860" s="2281"/>
      <c r="J860" s="2351"/>
      <c r="K860" s="2350"/>
      <c r="L860" s="2350"/>
      <c r="M860" s="2281"/>
      <c r="P860" s="2281"/>
    </row>
    <row r="861" spans="1:16">
      <c r="A861" s="2281"/>
      <c r="E861" s="2281"/>
      <c r="I861" s="2281"/>
      <c r="J861" s="2351"/>
      <c r="K861" s="2350"/>
      <c r="L861" s="2350"/>
      <c r="M861" s="2281"/>
      <c r="P861" s="2281"/>
    </row>
    <row r="862" spans="1:16">
      <c r="A862" s="2281"/>
      <c r="E862" s="2281"/>
      <c r="I862" s="2281"/>
      <c r="J862" s="2351"/>
      <c r="K862" s="2350"/>
      <c r="L862" s="2350"/>
      <c r="M862" s="2281"/>
      <c r="P862" s="2281"/>
    </row>
    <row r="863" spans="1:16">
      <c r="A863" s="2281"/>
      <c r="E863" s="2281"/>
      <c r="I863" s="2281"/>
      <c r="K863" s="2350"/>
      <c r="L863" s="2350"/>
      <c r="M863" s="2281"/>
      <c r="P863" s="2281"/>
    </row>
    <row r="864" spans="1:16">
      <c r="A864" s="2281"/>
      <c r="E864" s="2281"/>
      <c r="I864" s="2281"/>
      <c r="K864" s="2350"/>
      <c r="L864" s="2350"/>
      <c r="M864" s="2281"/>
      <c r="P864" s="2281"/>
    </row>
    <row r="865" spans="1:16">
      <c r="A865" s="2281"/>
      <c r="E865" s="2281"/>
      <c r="I865" s="2281"/>
      <c r="K865" s="2350"/>
      <c r="L865" s="2350"/>
      <c r="M865" s="2281"/>
      <c r="P865" s="2281"/>
    </row>
    <row r="866" spans="1:16">
      <c r="A866" s="2281"/>
      <c r="E866" s="2281"/>
      <c r="I866" s="2281"/>
      <c r="K866" s="2350"/>
      <c r="L866" s="2350"/>
      <c r="M866" s="2281"/>
      <c r="P866" s="2281"/>
    </row>
    <row r="867" spans="1:16">
      <c r="A867" s="2281"/>
      <c r="E867" s="2281"/>
      <c r="I867" s="2281"/>
      <c r="K867" s="2350"/>
      <c r="L867" s="2350"/>
      <c r="M867" s="2281"/>
      <c r="P867" s="2281"/>
    </row>
    <row r="868" spans="1:16">
      <c r="A868" s="2281"/>
      <c r="E868" s="2281"/>
      <c r="I868" s="2281"/>
      <c r="K868" s="2350"/>
      <c r="L868" s="2350"/>
      <c r="M868" s="2281"/>
      <c r="P868" s="2281"/>
    </row>
    <row r="869" spans="1:16">
      <c r="A869" s="2281"/>
      <c r="E869" s="2281"/>
      <c r="I869" s="2281"/>
      <c r="K869" s="2350"/>
      <c r="L869" s="2350"/>
      <c r="M869" s="2281"/>
      <c r="P869" s="2281"/>
    </row>
    <row r="870" spans="1:16">
      <c r="A870" s="2281"/>
      <c r="E870" s="2281"/>
      <c r="I870" s="2281"/>
      <c r="K870" s="2350"/>
      <c r="L870" s="2350"/>
      <c r="M870" s="2281"/>
      <c r="P870" s="2281"/>
    </row>
    <row r="871" spans="1:16">
      <c r="A871" s="2281"/>
      <c r="E871" s="2281"/>
      <c r="I871" s="2281"/>
      <c r="K871" s="2350"/>
      <c r="L871" s="2350"/>
      <c r="M871" s="2281"/>
      <c r="P871" s="2281"/>
    </row>
    <row r="872" spans="1:16">
      <c r="A872" s="2281"/>
      <c r="E872" s="2281"/>
      <c r="I872" s="2281"/>
      <c r="K872" s="2350"/>
      <c r="L872" s="2350"/>
      <c r="M872" s="2281"/>
      <c r="P872" s="2281"/>
    </row>
    <row r="873" spans="1:16">
      <c r="A873" s="2281"/>
      <c r="E873" s="2281"/>
      <c r="I873" s="2281"/>
      <c r="K873" s="2350"/>
      <c r="L873" s="2350"/>
      <c r="M873" s="2281"/>
      <c r="P873" s="2281"/>
    </row>
    <row r="874" spans="1:16">
      <c r="A874" s="2281"/>
      <c r="E874" s="2281"/>
      <c r="I874" s="2281"/>
      <c r="K874" s="2350"/>
      <c r="L874" s="2350"/>
      <c r="M874" s="2281"/>
      <c r="P874" s="2281"/>
    </row>
    <row r="875" spans="1:16">
      <c r="A875" s="2281"/>
      <c r="E875" s="2281"/>
      <c r="I875" s="2281"/>
      <c r="K875" s="2350"/>
      <c r="L875" s="2350"/>
      <c r="M875" s="2281"/>
      <c r="P875" s="2281"/>
    </row>
    <row r="876" spans="1:16">
      <c r="A876" s="2281"/>
      <c r="E876" s="2281"/>
      <c r="I876" s="2281"/>
      <c r="K876" s="2350"/>
      <c r="L876" s="2350"/>
      <c r="M876" s="2281"/>
      <c r="P876" s="2281"/>
    </row>
    <row r="877" spans="1:16">
      <c r="A877" s="2281"/>
      <c r="E877" s="2281"/>
      <c r="I877" s="2281"/>
      <c r="K877" s="2350"/>
      <c r="L877" s="2350"/>
      <c r="M877" s="2281"/>
      <c r="P877" s="2281"/>
    </row>
    <row r="878" spans="1:16">
      <c r="A878" s="2281"/>
      <c r="E878" s="2281"/>
      <c r="I878" s="2281"/>
      <c r="K878" s="2350"/>
      <c r="L878" s="2350"/>
      <c r="M878" s="2281"/>
      <c r="P878" s="2281"/>
    </row>
    <row r="879" spans="1:16">
      <c r="A879" s="2281"/>
      <c r="E879" s="2281"/>
      <c r="I879" s="2281"/>
      <c r="K879" s="2350"/>
      <c r="L879" s="2350"/>
      <c r="M879" s="2281"/>
      <c r="P879" s="2281"/>
    </row>
    <row r="880" spans="1:16">
      <c r="A880" s="2281"/>
      <c r="E880" s="2281"/>
      <c r="I880" s="2281"/>
      <c r="K880" s="2350"/>
      <c r="L880" s="2350"/>
      <c r="M880" s="2281"/>
      <c r="P880" s="2281"/>
    </row>
    <row r="881" spans="1:16">
      <c r="A881" s="2281"/>
      <c r="E881" s="2281"/>
      <c r="I881" s="2281"/>
      <c r="K881" s="2350"/>
      <c r="L881" s="2350"/>
      <c r="M881" s="2281"/>
      <c r="P881" s="2281"/>
    </row>
    <row r="882" spans="1:16">
      <c r="A882" s="2281"/>
      <c r="E882" s="2281"/>
      <c r="I882" s="2281"/>
      <c r="K882" s="2350"/>
      <c r="L882" s="2350"/>
      <c r="M882" s="2281"/>
      <c r="P882" s="2281"/>
    </row>
    <row r="883" spans="1:16">
      <c r="A883" s="2281"/>
      <c r="E883" s="2281"/>
      <c r="I883" s="2281"/>
      <c r="K883" s="2350"/>
      <c r="L883" s="2350"/>
      <c r="M883" s="2281"/>
      <c r="P883" s="2281"/>
    </row>
    <row r="884" spans="1:16">
      <c r="A884" s="2281"/>
      <c r="E884" s="2281"/>
      <c r="I884" s="2281"/>
      <c r="K884" s="2350"/>
      <c r="L884" s="2350"/>
      <c r="M884" s="2281"/>
      <c r="P884" s="2281"/>
    </row>
    <row r="885" spans="1:16">
      <c r="A885" s="2281"/>
      <c r="E885" s="2281"/>
      <c r="I885" s="2281"/>
      <c r="K885" s="2350"/>
      <c r="L885" s="2350"/>
      <c r="M885" s="2281"/>
      <c r="P885" s="2281"/>
    </row>
    <row r="886" spans="1:16">
      <c r="A886" s="2281"/>
      <c r="E886" s="2281"/>
      <c r="I886" s="2281"/>
      <c r="K886" s="2350"/>
      <c r="L886" s="2350"/>
      <c r="M886" s="2281"/>
      <c r="P886" s="2281"/>
    </row>
    <row r="887" spans="1:16">
      <c r="A887" s="2281"/>
      <c r="E887" s="2281"/>
      <c r="I887" s="2281"/>
      <c r="K887" s="2350"/>
      <c r="L887" s="2350"/>
      <c r="M887" s="2281"/>
      <c r="P887" s="2281"/>
    </row>
    <row r="888" spans="1:16">
      <c r="A888" s="2281"/>
      <c r="E888" s="2281"/>
      <c r="I888" s="2281"/>
      <c r="K888" s="2350"/>
      <c r="L888" s="2350"/>
      <c r="M888" s="2281"/>
      <c r="P888" s="2281"/>
    </row>
    <row r="889" spans="1:16">
      <c r="A889" s="2281"/>
      <c r="E889" s="2281"/>
      <c r="I889" s="2281"/>
      <c r="K889" s="2350"/>
      <c r="L889" s="2350"/>
      <c r="M889" s="2281"/>
      <c r="P889" s="2281"/>
    </row>
    <row r="890" spans="1:16">
      <c r="A890" s="2281"/>
      <c r="E890" s="2281"/>
      <c r="I890" s="2281"/>
      <c r="K890" s="2350"/>
      <c r="L890" s="2350"/>
      <c r="M890" s="2281"/>
      <c r="P890" s="2281"/>
    </row>
    <row r="891" spans="1:16">
      <c r="A891" s="2281"/>
      <c r="E891" s="2281"/>
      <c r="I891" s="2281"/>
      <c r="K891" s="2350"/>
      <c r="L891" s="2350"/>
      <c r="M891" s="2281"/>
      <c r="P891" s="2281"/>
    </row>
    <row r="892" spans="1:16">
      <c r="A892" s="2281"/>
      <c r="E892" s="2281"/>
      <c r="I892" s="2281"/>
      <c r="K892" s="2350"/>
      <c r="L892" s="2350"/>
      <c r="M892" s="2281"/>
      <c r="P892" s="2281"/>
    </row>
    <row r="893" spans="1:16">
      <c r="A893" s="2281"/>
      <c r="E893" s="2281"/>
      <c r="I893" s="2281"/>
      <c r="K893" s="2350"/>
      <c r="L893" s="2350"/>
      <c r="M893" s="2281"/>
      <c r="P893" s="2281"/>
    </row>
    <row r="894" spans="1:16">
      <c r="A894" s="2281"/>
      <c r="E894" s="2281"/>
      <c r="I894" s="2281"/>
      <c r="K894" s="2350"/>
      <c r="L894" s="2350"/>
      <c r="M894" s="2281"/>
      <c r="P894" s="2281"/>
    </row>
    <row r="895" spans="1:16">
      <c r="A895" s="2281"/>
      <c r="E895" s="2281"/>
      <c r="I895" s="2281"/>
      <c r="K895" s="2350"/>
      <c r="L895" s="2350"/>
      <c r="M895" s="2281"/>
      <c r="P895" s="2281"/>
    </row>
    <row r="896" spans="1:16">
      <c r="A896" s="2281"/>
      <c r="E896" s="2281"/>
      <c r="I896" s="2281"/>
      <c r="K896" s="2350"/>
      <c r="L896" s="2350"/>
      <c r="M896" s="2281"/>
      <c r="P896" s="2281"/>
    </row>
    <row r="897" spans="1:16">
      <c r="A897" s="2281"/>
      <c r="E897" s="2281"/>
      <c r="I897" s="2281"/>
      <c r="K897" s="2350"/>
      <c r="L897" s="2350"/>
      <c r="M897" s="2281"/>
      <c r="P897" s="2281"/>
    </row>
    <row r="898" spans="1:16">
      <c r="A898" s="2281"/>
      <c r="E898" s="2281"/>
      <c r="I898" s="2281"/>
      <c r="K898" s="2350"/>
      <c r="L898" s="2350"/>
      <c r="M898" s="2281"/>
      <c r="P898" s="2281"/>
    </row>
    <row r="899" spans="1:16">
      <c r="A899" s="2281"/>
      <c r="E899" s="2281"/>
      <c r="I899" s="2281"/>
      <c r="K899" s="2350"/>
      <c r="L899" s="2350"/>
      <c r="M899" s="2281"/>
      <c r="P899" s="2281"/>
    </row>
    <row r="900" spans="1:16">
      <c r="A900" s="2281"/>
      <c r="E900" s="2281"/>
      <c r="I900" s="2281"/>
      <c r="K900" s="2350"/>
      <c r="L900" s="2350"/>
      <c r="M900" s="2281"/>
      <c r="P900" s="2281"/>
    </row>
    <row r="901" spans="1:16">
      <c r="A901" s="2281"/>
      <c r="E901" s="2281"/>
      <c r="I901" s="2281"/>
      <c r="K901" s="2350"/>
      <c r="L901" s="2350"/>
      <c r="M901" s="2281"/>
      <c r="P901" s="2281"/>
    </row>
    <row r="902" spans="1:16">
      <c r="A902" s="2281"/>
      <c r="E902" s="2281"/>
      <c r="I902" s="2281"/>
      <c r="K902" s="2350"/>
      <c r="L902" s="2350"/>
      <c r="M902" s="2281"/>
      <c r="P902" s="2281"/>
    </row>
    <row r="903" spans="1:16">
      <c r="A903" s="2281"/>
      <c r="E903" s="2281"/>
      <c r="I903" s="2281"/>
      <c r="K903" s="2350"/>
      <c r="L903" s="2350"/>
      <c r="M903" s="2281"/>
      <c r="P903" s="2281"/>
    </row>
    <row r="904" spans="1:16">
      <c r="A904" s="2281"/>
      <c r="E904" s="2281"/>
      <c r="I904" s="2281"/>
      <c r="K904" s="2350"/>
      <c r="L904" s="2350"/>
      <c r="M904" s="2281"/>
      <c r="P904" s="2281"/>
    </row>
    <row r="905" spans="1:16">
      <c r="A905" s="2281"/>
      <c r="E905" s="2281"/>
      <c r="I905" s="2281"/>
      <c r="K905" s="2350"/>
      <c r="L905" s="2350"/>
      <c r="M905" s="2281"/>
      <c r="P905" s="2281"/>
    </row>
    <row r="906" spans="1:16">
      <c r="A906" s="2281"/>
      <c r="E906" s="2281"/>
      <c r="I906" s="2281"/>
      <c r="K906" s="2350"/>
      <c r="L906" s="2350"/>
      <c r="M906" s="2281"/>
      <c r="P906" s="2281"/>
    </row>
    <row r="907" spans="1:16">
      <c r="A907" s="2281"/>
      <c r="E907" s="2281"/>
      <c r="I907" s="2281"/>
      <c r="K907" s="2350"/>
      <c r="L907" s="2350"/>
      <c r="M907" s="2281"/>
      <c r="P907" s="2281"/>
    </row>
    <row r="908" spans="1:16">
      <c r="A908" s="2281"/>
      <c r="E908" s="2281"/>
      <c r="I908" s="2281"/>
      <c r="K908" s="2350"/>
      <c r="L908" s="2350"/>
      <c r="M908" s="2281"/>
      <c r="P908" s="2281"/>
    </row>
    <row r="909" spans="1:16">
      <c r="A909" s="2281"/>
      <c r="E909" s="2281"/>
      <c r="I909" s="2281"/>
      <c r="K909" s="2350"/>
      <c r="L909" s="2350"/>
      <c r="M909" s="2281"/>
      <c r="P909" s="2281"/>
    </row>
    <row r="910" spans="1:16">
      <c r="A910" s="2281"/>
      <c r="E910" s="2281"/>
      <c r="I910" s="2281"/>
      <c r="K910" s="2350"/>
      <c r="L910" s="2350"/>
      <c r="M910" s="2281"/>
      <c r="P910" s="2281"/>
    </row>
    <row r="911" spans="1:16">
      <c r="A911" s="2281"/>
      <c r="E911" s="2281"/>
      <c r="I911" s="2281"/>
      <c r="K911" s="2350"/>
      <c r="L911" s="2350"/>
      <c r="M911" s="2281"/>
      <c r="P911" s="2281"/>
    </row>
    <row r="912" spans="1:16">
      <c r="A912" s="2281"/>
      <c r="E912" s="2281"/>
      <c r="I912" s="2281"/>
      <c r="K912" s="2350"/>
      <c r="L912" s="2350"/>
      <c r="M912" s="2281"/>
      <c r="P912" s="2281"/>
    </row>
    <row r="913" spans="1:16">
      <c r="A913" s="2281"/>
      <c r="E913" s="2281"/>
      <c r="I913" s="2281"/>
      <c r="K913" s="2350"/>
      <c r="L913" s="2350"/>
      <c r="M913" s="2281"/>
      <c r="P913" s="2281"/>
    </row>
    <row r="914" spans="1:16">
      <c r="A914" s="2281"/>
      <c r="E914" s="2281"/>
      <c r="I914" s="2281"/>
      <c r="K914" s="2350"/>
      <c r="L914" s="2350"/>
      <c r="M914" s="2281"/>
      <c r="P914" s="2281"/>
    </row>
    <row r="915" spans="1:16">
      <c r="A915" s="2281"/>
      <c r="E915" s="2281"/>
      <c r="I915" s="2281"/>
      <c r="K915" s="2350"/>
      <c r="L915" s="2350"/>
      <c r="M915" s="2281"/>
      <c r="P915" s="2281"/>
    </row>
    <row r="916" spans="1:16">
      <c r="A916" s="2281"/>
      <c r="E916" s="2281"/>
      <c r="I916" s="2281"/>
      <c r="K916" s="2350"/>
      <c r="L916" s="2350"/>
      <c r="M916" s="2281"/>
      <c r="P916" s="2281"/>
    </row>
    <row r="917" spans="1:16">
      <c r="A917" s="2281"/>
      <c r="E917" s="2281"/>
      <c r="I917" s="2281"/>
      <c r="K917" s="2350"/>
      <c r="L917" s="2350"/>
      <c r="M917" s="2281"/>
      <c r="P917" s="2281"/>
    </row>
    <row r="918" spans="1:16">
      <c r="A918" s="2281"/>
      <c r="E918" s="2281"/>
      <c r="I918" s="2281"/>
      <c r="K918" s="2350"/>
      <c r="L918" s="2350"/>
      <c r="M918" s="2281"/>
      <c r="P918" s="2281"/>
    </row>
    <row r="919" spans="1:16">
      <c r="A919" s="2281"/>
      <c r="E919" s="2281"/>
      <c r="I919" s="2281"/>
      <c r="K919" s="2350"/>
      <c r="L919" s="2350"/>
      <c r="M919" s="2281"/>
      <c r="P919" s="2281"/>
    </row>
    <row r="920" spans="1:16">
      <c r="A920" s="2281"/>
      <c r="E920" s="2281"/>
      <c r="I920" s="2281"/>
      <c r="K920" s="2350"/>
      <c r="L920" s="2350"/>
      <c r="M920" s="2281"/>
      <c r="P920" s="2281"/>
    </row>
    <row r="921" spans="1:16">
      <c r="A921" s="2281"/>
      <c r="E921" s="2281"/>
      <c r="I921" s="2281"/>
      <c r="K921" s="2350"/>
      <c r="L921" s="2350"/>
      <c r="M921" s="2281"/>
      <c r="P921" s="2281"/>
    </row>
    <row r="922" spans="1:16">
      <c r="A922" s="2281"/>
      <c r="E922" s="2281"/>
      <c r="I922" s="2281"/>
      <c r="K922" s="2350"/>
      <c r="L922" s="2350"/>
      <c r="M922" s="2281"/>
      <c r="P922" s="2281"/>
    </row>
    <row r="923" spans="1:16">
      <c r="A923" s="2281"/>
      <c r="E923" s="2281"/>
      <c r="I923" s="2281"/>
      <c r="K923" s="2350"/>
      <c r="L923" s="2350"/>
      <c r="M923" s="2281"/>
      <c r="P923" s="2281"/>
    </row>
    <row r="924" spans="1:16">
      <c r="A924" s="2281"/>
      <c r="E924" s="2281"/>
      <c r="I924" s="2281"/>
      <c r="K924" s="2350"/>
      <c r="L924" s="2350"/>
      <c r="M924" s="2281"/>
      <c r="P924" s="2281"/>
    </row>
    <row r="925" spans="1:16">
      <c r="A925" s="2281"/>
      <c r="E925" s="2281"/>
      <c r="I925" s="2281"/>
      <c r="K925" s="2350"/>
      <c r="L925" s="2350"/>
      <c r="M925" s="2281"/>
      <c r="P925" s="2281"/>
    </row>
    <row r="926" spans="1:16">
      <c r="A926" s="2281"/>
      <c r="E926" s="2281"/>
      <c r="I926" s="2281"/>
      <c r="K926" s="2350"/>
      <c r="L926" s="2350"/>
      <c r="M926" s="2281"/>
      <c r="P926" s="2281"/>
    </row>
    <row r="927" spans="1:16">
      <c r="A927" s="2281"/>
      <c r="E927" s="2281"/>
      <c r="I927" s="2281"/>
      <c r="K927" s="2350"/>
      <c r="L927" s="2350"/>
      <c r="M927" s="2281"/>
      <c r="P927" s="2281"/>
    </row>
    <row r="928" spans="1:16">
      <c r="A928" s="2281"/>
      <c r="E928" s="2281"/>
      <c r="I928" s="2281"/>
      <c r="K928" s="2350"/>
      <c r="L928" s="2350"/>
      <c r="M928" s="2281"/>
      <c r="P928" s="2281"/>
    </row>
    <row r="929" spans="1:16">
      <c r="A929" s="2281"/>
      <c r="E929" s="2281"/>
      <c r="I929" s="2281"/>
      <c r="K929" s="2350"/>
      <c r="L929" s="2350"/>
      <c r="M929" s="2281"/>
      <c r="P929" s="2281"/>
    </row>
    <row r="930" spans="1:16">
      <c r="A930" s="2281"/>
      <c r="E930" s="2281"/>
      <c r="I930" s="2281"/>
      <c r="K930" s="2350"/>
      <c r="L930" s="2350"/>
      <c r="M930" s="2281"/>
      <c r="P930" s="2281"/>
    </row>
    <row r="931" spans="1:16">
      <c r="A931" s="2281"/>
      <c r="E931" s="2281"/>
      <c r="I931" s="2281"/>
      <c r="K931" s="2350"/>
      <c r="L931" s="2350"/>
      <c r="M931" s="2281"/>
      <c r="P931" s="2281"/>
    </row>
    <row r="932" spans="1:16">
      <c r="A932" s="2281"/>
      <c r="E932" s="2281"/>
      <c r="I932" s="2281"/>
      <c r="K932" s="2350"/>
      <c r="L932" s="2350"/>
      <c r="M932" s="2281"/>
      <c r="P932" s="2281"/>
    </row>
    <row r="933" spans="1:16">
      <c r="A933" s="2281"/>
      <c r="E933" s="2281"/>
      <c r="I933" s="2281"/>
      <c r="K933" s="2350"/>
      <c r="L933" s="2350"/>
      <c r="M933" s="2281"/>
      <c r="P933" s="2281"/>
    </row>
    <row r="934" spans="1:16">
      <c r="A934" s="2281"/>
      <c r="E934" s="2281"/>
      <c r="I934" s="2281"/>
      <c r="K934" s="2350"/>
      <c r="L934" s="2350"/>
      <c r="M934" s="2281"/>
      <c r="P934" s="2281"/>
    </row>
    <row r="935" spans="1:16">
      <c r="A935" s="2281"/>
      <c r="E935" s="2281"/>
      <c r="I935" s="2281"/>
      <c r="K935" s="2350"/>
      <c r="L935" s="2350"/>
      <c r="M935" s="2281"/>
      <c r="P935" s="2281"/>
    </row>
    <row r="936" spans="1:16">
      <c r="A936" s="2281"/>
      <c r="E936" s="2281"/>
      <c r="I936" s="2281"/>
      <c r="K936" s="2350"/>
      <c r="L936" s="2350"/>
      <c r="M936" s="2281"/>
      <c r="P936" s="2281"/>
    </row>
    <row r="937" spans="1:16">
      <c r="A937" s="2281"/>
      <c r="E937" s="2281"/>
      <c r="I937" s="2281"/>
      <c r="K937" s="2350"/>
      <c r="L937" s="2350"/>
      <c r="M937" s="2281"/>
      <c r="P937" s="2281"/>
    </row>
    <row r="938" spans="1:16">
      <c r="A938" s="2281"/>
      <c r="E938" s="2281"/>
      <c r="I938" s="2281"/>
      <c r="K938" s="2350"/>
      <c r="L938" s="2350"/>
      <c r="M938" s="2281"/>
      <c r="P938" s="2281"/>
    </row>
    <row r="939" spans="1:16">
      <c r="A939" s="2281"/>
      <c r="E939" s="2281"/>
      <c r="I939" s="2281"/>
      <c r="K939" s="2350"/>
      <c r="L939" s="2350"/>
      <c r="M939" s="2281"/>
      <c r="P939" s="2281"/>
    </row>
    <row r="940" spans="1:16">
      <c r="A940" s="2281"/>
      <c r="E940" s="2281"/>
      <c r="I940" s="2281"/>
      <c r="K940" s="2350"/>
      <c r="L940" s="2350"/>
      <c r="M940" s="2281"/>
      <c r="P940" s="2281"/>
    </row>
    <row r="941" spans="1:16">
      <c r="A941" s="2281"/>
      <c r="E941" s="2281"/>
      <c r="I941" s="2281"/>
      <c r="K941" s="2350"/>
      <c r="L941" s="2350"/>
      <c r="M941" s="2281"/>
      <c r="P941" s="2281"/>
    </row>
    <row r="942" spans="1:16">
      <c r="A942" s="2281"/>
      <c r="E942" s="2281"/>
      <c r="I942" s="2281"/>
      <c r="K942" s="2350"/>
      <c r="L942" s="2350"/>
      <c r="M942" s="2281"/>
      <c r="P942" s="2281"/>
    </row>
    <row r="943" spans="1:16">
      <c r="A943" s="2281"/>
      <c r="E943" s="2281"/>
      <c r="I943" s="2281"/>
      <c r="K943" s="2350"/>
      <c r="L943" s="2350"/>
      <c r="M943" s="2281"/>
      <c r="P943" s="2281"/>
    </row>
    <row r="944" spans="1:16">
      <c r="A944" s="2281"/>
      <c r="E944" s="2281"/>
      <c r="I944" s="2281"/>
      <c r="K944" s="2350"/>
      <c r="L944" s="2350"/>
      <c r="M944" s="2281"/>
      <c r="P944" s="2281"/>
    </row>
    <row r="945" spans="1:16">
      <c r="A945" s="2281"/>
      <c r="E945" s="2281"/>
      <c r="I945" s="2281"/>
      <c r="K945" s="2350"/>
      <c r="L945" s="2350"/>
      <c r="M945" s="2281"/>
      <c r="P945" s="2281"/>
    </row>
    <row r="946" spans="1:16">
      <c r="A946" s="2281"/>
      <c r="E946" s="2281"/>
      <c r="I946" s="2281"/>
      <c r="K946" s="2350"/>
      <c r="L946" s="2350"/>
      <c r="M946" s="2281"/>
      <c r="P946" s="2281"/>
    </row>
    <row r="947" spans="1:16">
      <c r="A947" s="2281"/>
      <c r="E947" s="2281"/>
      <c r="I947" s="2281"/>
      <c r="K947" s="2350"/>
      <c r="L947" s="2350"/>
      <c r="M947" s="2281"/>
      <c r="P947" s="2281"/>
    </row>
    <row r="948" spans="1:16">
      <c r="A948" s="2281"/>
      <c r="E948" s="2281"/>
      <c r="I948" s="2281"/>
      <c r="K948" s="2350"/>
      <c r="L948" s="2350"/>
      <c r="M948" s="2281"/>
      <c r="P948" s="2281"/>
    </row>
    <row r="949" spans="1:16">
      <c r="A949" s="2281"/>
      <c r="E949" s="2281"/>
      <c r="I949" s="2281"/>
      <c r="K949" s="2350"/>
      <c r="L949" s="2350"/>
      <c r="M949" s="2281"/>
      <c r="P949" s="2281"/>
    </row>
    <row r="950" spans="1:16">
      <c r="A950" s="2281"/>
      <c r="E950" s="2281"/>
      <c r="I950" s="2281"/>
      <c r="K950" s="2350"/>
      <c r="L950" s="2350"/>
      <c r="M950" s="2281"/>
      <c r="P950" s="2281"/>
    </row>
    <row r="951" spans="1:16">
      <c r="A951" s="2281"/>
      <c r="E951" s="2281"/>
      <c r="I951" s="2281"/>
      <c r="K951" s="2350"/>
      <c r="L951" s="2350"/>
      <c r="M951" s="2281"/>
      <c r="P951" s="2281"/>
    </row>
    <row r="952" spans="1:16">
      <c r="A952" s="2281"/>
      <c r="E952" s="2281"/>
      <c r="I952" s="2281"/>
      <c r="K952" s="2350"/>
      <c r="L952" s="2350"/>
      <c r="M952" s="2281"/>
      <c r="P952" s="2281"/>
    </row>
    <row r="953" spans="1:16">
      <c r="A953" s="2281"/>
      <c r="E953" s="2281"/>
      <c r="I953" s="2281"/>
      <c r="K953" s="2350"/>
      <c r="L953" s="2350"/>
      <c r="M953" s="2281"/>
      <c r="P953" s="2281"/>
    </row>
    <row r="954" spans="1:16">
      <c r="A954" s="2281"/>
      <c r="E954" s="2281"/>
      <c r="I954" s="2281"/>
      <c r="K954" s="2350"/>
      <c r="L954" s="2350"/>
      <c r="M954" s="2281"/>
      <c r="P954" s="2281"/>
    </row>
    <row r="955" spans="1:16">
      <c r="A955" s="2281"/>
      <c r="E955" s="2281"/>
      <c r="I955" s="2281"/>
      <c r="K955" s="2350"/>
      <c r="L955" s="2350"/>
      <c r="M955" s="2281"/>
      <c r="P955" s="2281"/>
    </row>
    <row r="956" spans="1:16">
      <c r="A956" s="2281"/>
      <c r="E956" s="2281"/>
      <c r="I956" s="2281"/>
      <c r="K956" s="2350"/>
      <c r="L956" s="2350"/>
      <c r="M956" s="2281"/>
      <c r="P956" s="2281"/>
    </row>
    <row r="957" spans="1:16">
      <c r="A957" s="2281"/>
      <c r="E957" s="2281"/>
      <c r="I957" s="2281"/>
      <c r="K957" s="2350"/>
      <c r="L957" s="2350"/>
      <c r="M957" s="2281"/>
      <c r="P957" s="2281"/>
    </row>
    <row r="958" spans="1:16">
      <c r="A958" s="2281"/>
      <c r="E958" s="2281"/>
      <c r="I958" s="2281"/>
      <c r="K958" s="2350"/>
      <c r="L958" s="2350"/>
      <c r="M958" s="2281"/>
      <c r="P958" s="2281"/>
    </row>
    <row r="959" spans="1:16">
      <c r="A959" s="2281"/>
      <c r="E959" s="2281"/>
      <c r="I959" s="2281"/>
      <c r="K959" s="2350"/>
      <c r="L959" s="2350"/>
      <c r="M959" s="2281"/>
      <c r="P959" s="2281"/>
    </row>
    <row r="960" spans="1:16">
      <c r="A960" s="2281"/>
      <c r="E960" s="2281"/>
      <c r="I960" s="2281"/>
      <c r="K960" s="2350"/>
      <c r="L960" s="2350"/>
      <c r="M960" s="2281"/>
      <c r="P960" s="2281"/>
    </row>
    <row r="961" spans="1:16">
      <c r="A961" s="2281"/>
      <c r="E961" s="2281"/>
      <c r="I961" s="2281"/>
      <c r="K961" s="2350"/>
      <c r="L961" s="2350"/>
      <c r="M961" s="2281"/>
      <c r="P961" s="2281"/>
    </row>
    <row r="962" spans="1:16">
      <c r="A962" s="2281"/>
      <c r="E962" s="2281"/>
      <c r="I962" s="2281"/>
      <c r="K962" s="2350"/>
      <c r="L962" s="2350"/>
      <c r="M962" s="2281"/>
      <c r="P962" s="2281"/>
    </row>
    <row r="963" spans="1:16">
      <c r="A963" s="2281"/>
      <c r="E963" s="2281"/>
      <c r="I963" s="2281"/>
      <c r="K963" s="2350"/>
      <c r="L963" s="2350"/>
      <c r="M963" s="2281"/>
      <c r="P963" s="2281"/>
    </row>
    <row r="964" spans="1:16">
      <c r="A964" s="2281"/>
      <c r="E964" s="2281"/>
      <c r="I964" s="2281"/>
      <c r="K964" s="2350"/>
      <c r="L964" s="2350"/>
      <c r="M964" s="2281"/>
      <c r="P964" s="2281"/>
    </row>
    <row r="965" spans="1:16">
      <c r="A965" s="2281"/>
      <c r="E965" s="2281"/>
      <c r="I965" s="2281"/>
      <c r="K965" s="2350"/>
      <c r="L965" s="2350"/>
      <c r="M965" s="2281"/>
      <c r="P965" s="2281"/>
    </row>
    <row r="966" spans="1:16">
      <c r="A966" s="2281"/>
      <c r="E966" s="2281"/>
      <c r="I966" s="2281"/>
      <c r="K966" s="2350"/>
      <c r="L966" s="2350"/>
      <c r="M966" s="2281"/>
      <c r="P966" s="2281"/>
    </row>
    <row r="967" spans="1:16">
      <c r="A967" s="2281"/>
      <c r="E967" s="2281"/>
      <c r="I967" s="2281"/>
      <c r="K967" s="2350"/>
      <c r="L967" s="2350"/>
      <c r="M967" s="2281"/>
      <c r="P967" s="2281"/>
    </row>
    <row r="968" spans="1:16">
      <c r="A968" s="2281"/>
      <c r="E968" s="2281"/>
      <c r="I968" s="2281"/>
      <c r="K968" s="2350"/>
      <c r="L968" s="2350"/>
      <c r="M968" s="2281"/>
      <c r="P968" s="2281"/>
    </row>
    <row r="969" spans="1:16">
      <c r="A969" s="2281"/>
      <c r="E969" s="2281"/>
      <c r="I969" s="2281"/>
      <c r="K969" s="2350"/>
      <c r="L969" s="2350"/>
      <c r="M969" s="2281"/>
      <c r="P969" s="2281"/>
    </row>
    <row r="970" spans="1:16">
      <c r="A970" s="2281"/>
      <c r="E970" s="2281"/>
      <c r="I970" s="2281"/>
      <c r="K970" s="2350"/>
      <c r="L970" s="2350"/>
      <c r="M970" s="2281"/>
      <c r="P970" s="2281"/>
    </row>
    <row r="971" spans="1:16">
      <c r="A971" s="2281"/>
      <c r="E971" s="2281"/>
      <c r="I971" s="2281"/>
      <c r="K971" s="2350"/>
      <c r="L971" s="2350"/>
      <c r="M971" s="2281"/>
      <c r="P971" s="2281"/>
    </row>
    <row r="972" spans="1:16">
      <c r="A972" s="2281"/>
      <c r="E972" s="2281"/>
      <c r="I972" s="2281"/>
      <c r="K972" s="2350"/>
      <c r="L972" s="2350"/>
      <c r="M972" s="2281"/>
      <c r="P972" s="2281"/>
    </row>
    <row r="973" spans="1:16">
      <c r="A973" s="2281"/>
      <c r="E973" s="2281"/>
      <c r="I973" s="2281"/>
      <c r="K973" s="2350"/>
      <c r="L973" s="2350"/>
      <c r="M973" s="2281"/>
      <c r="P973" s="2281"/>
    </row>
    <row r="974" spans="1:16">
      <c r="A974" s="2281"/>
      <c r="E974" s="2281"/>
      <c r="I974" s="2281"/>
      <c r="K974" s="2350"/>
      <c r="L974" s="2350"/>
      <c r="M974" s="2281"/>
      <c r="P974" s="2281"/>
    </row>
    <row r="975" spans="1:16">
      <c r="A975" s="2281"/>
      <c r="E975" s="2281"/>
      <c r="I975" s="2281"/>
      <c r="K975" s="2350"/>
      <c r="L975" s="2350"/>
      <c r="M975" s="2281"/>
      <c r="P975" s="2281"/>
    </row>
    <row r="976" spans="1:16">
      <c r="A976" s="2281"/>
      <c r="E976" s="2281"/>
      <c r="I976" s="2281"/>
      <c r="K976" s="2350"/>
      <c r="L976" s="2350"/>
      <c r="M976" s="2281"/>
      <c r="P976" s="2281"/>
    </row>
    <row r="977" spans="1:16">
      <c r="A977" s="2281"/>
      <c r="E977" s="2281"/>
      <c r="I977" s="2281"/>
      <c r="K977" s="2350"/>
      <c r="L977" s="2350"/>
      <c r="M977" s="2281"/>
      <c r="P977" s="2281"/>
    </row>
    <row r="978" spans="1:16">
      <c r="A978" s="2281"/>
      <c r="E978" s="2281"/>
      <c r="I978" s="2281"/>
      <c r="K978" s="2350"/>
      <c r="L978" s="2350"/>
      <c r="M978" s="2281"/>
      <c r="P978" s="2281"/>
    </row>
    <row r="979" spans="1:16">
      <c r="A979" s="2281"/>
      <c r="E979" s="2281"/>
      <c r="I979" s="2281"/>
      <c r="K979" s="2350"/>
      <c r="L979" s="2350"/>
      <c r="M979" s="2281"/>
      <c r="P979" s="2281"/>
    </row>
    <row r="980" spans="1:16">
      <c r="A980" s="2281"/>
      <c r="E980" s="2281"/>
      <c r="I980" s="2281"/>
      <c r="K980" s="2350"/>
      <c r="L980" s="2350"/>
      <c r="M980" s="2281"/>
      <c r="P980" s="2281"/>
    </row>
    <row r="981" spans="1:16">
      <c r="A981" s="2281"/>
      <c r="E981" s="2281"/>
      <c r="I981" s="2281"/>
      <c r="K981" s="2350"/>
      <c r="L981" s="2350"/>
      <c r="M981" s="2281"/>
      <c r="P981" s="2281"/>
    </row>
    <row r="982" spans="1:16">
      <c r="A982" s="2281"/>
      <c r="E982" s="2281"/>
      <c r="I982" s="2281"/>
      <c r="K982" s="2350"/>
      <c r="L982" s="2350"/>
      <c r="M982" s="2281"/>
      <c r="P982" s="2281"/>
    </row>
    <row r="983" spans="1:16">
      <c r="A983" s="2281"/>
      <c r="E983" s="2281"/>
      <c r="I983" s="2281"/>
      <c r="K983" s="2350"/>
      <c r="L983" s="2350"/>
      <c r="M983" s="2281"/>
      <c r="P983" s="2281"/>
    </row>
    <row r="984" spans="1:16">
      <c r="A984" s="2281"/>
      <c r="E984" s="2281"/>
      <c r="I984" s="2281"/>
      <c r="K984" s="2350"/>
      <c r="L984" s="2350"/>
      <c r="M984" s="2281"/>
      <c r="P984" s="2281"/>
    </row>
    <row r="985" spans="1:16">
      <c r="A985" s="2281"/>
      <c r="E985" s="2281"/>
      <c r="I985" s="2281"/>
      <c r="K985" s="2350"/>
      <c r="L985" s="2350"/>
      <c r="M985" s="2281"/>
      <c r="P985" s="2281"/>
    </row>
    <row r="986" spans="1:16">
      <c r="A986" s="2281"/>
      <c r="E986" s="2281"/>
      <c r="I986" s="2281"/>
      <c r="K986" s="2350"/>
      <c r="L986" s="2350"/>
      <c r="M986" s="2281"/>
      <c r="P986" s="2281"/>
    </row>
    <row r="987" spans="1:16">
      <c r="A987" s="2281"/>
      <c r="E987" s="2281"/>
      <c r="I987" s="2281"/>
      <c r="K987" s="2350"/>
      <c r="L987" s="2350"/>
      <c r="M987" s="2281"/>
      <c r="P987" s="2281"/>
    </row>
    <row r="988" spans="1:16">
      <c r="A988" s="2281"/>
      <c r="E988" s="2281"/>
      <c r="I988" s="2281"/>
      <c r="K988" s="2350"/>
      <c r="L988" s="2350"/>
      <c r="M988" s="2281"/>
      <c r="P988" s="2281"/>
    </row>
    <row r="989" spans="1:16">
      <c r="A989" s="2281"/>
      <c r="E989" s="2281"/>
      <c r="I989" s="2281"/>
      <c r="K989" s="2350"/>
      <c r="L989" s="2350"/>
      <c r="M989" s="2281"/>
      <c r="P989" s="2281"/>
    </row>
    <row r="990" spans="1:16">
      <c r="A990" s="2281"/>
      <c r="E990" s="2281"/>
      <c r="I990" s="2281"/>
      <c r="K990" s="2350"/>
      <c r="L990" s="2350"/>
      <c r="M990" s="2281"/>
      <c r="P990" s="2281"/>
    </row>
    <row r="991" spans="1:16">
      <c r="A991" s="2281"/>
      <c r="E991" s="2281"/>
      <c r="I991" s="2281"/>
      <c r="K991" s="2350"/>
      <c r="L991" s="2350"/>
      <c r="M991" s="2281"/>
      <c r="P991" s="2281"/>
    </row>
    <row r="992" spans="1:16">
      <c r="A992" s="2281"/>
      <c r="E992" s="2281"/>
      <c r="I992" s="2281"/>
      <c r="K992" s="2350"/>
      <c r="L992" s="2350"/>
      <c r="M992" s="2281"/>
      <c r="P992" s="2281"/>
    </row>
    <row r="993" spans="1:16">
      <c r="A993" s="2281"/>
      <c r="E993" s="2281"/>
      <c r="I993" s="2281"/>
      <c r="K993" s="2350"/>
      <c r="L993" s="2350"/>
      <c r="M993" s="2281"/>
      <c r="P993" s="2281"/>
    </row>
    <row r="994" spans="1:16">
      <c r="A994" s="2281"/>
      <c r="E994" s="2281"/>
      <c r="I994" s="2281"/>
      <c r="K994" s="2350"/>
      <c r="L994" s="2350"/>
      <c r="M994" s="2281"/>
      <c r="P994" s="2281"/>
    </row>
    <row r="995" spans="1:16">
      <c r="A995" s="2281"/>
      <c r="E995" s="2281"/>
      <c r="I995" s="2281"/>
      <c r="K995" s="2350"/>
      <c r="L995" s="2350"/>
      <c r="M995" s="2281"/>
      <c r="P995" s="2281"/>
    </row>
    <row r="996" spans="1:16">
      <c r="A996" s="2281"/>
      <c r="E996" s="2281"/>
      <c r="I996" s="2281"/>
      <c r="K996" s="2350"/>
      <c r="L996" s="2350"/>
      <c r="M996" s="2281"/>
      <c r="P996" s="2281"/>
    </row>
    <row r="997" spans="1:16">
      <c r="A997" s="2281"/>
      <c r="E997" s="2281"/>
      <c r="I997" s="2281"/>
      <c r="K997" s="2350"/>
      <c r="L997" s="2350"/>
      <c r="M997" s="2281"/>
      <c r="P997" s="2281"/>
    </row>
    <row r="998" spans="1:16">
      <c r="A998" s="2281"/>
      <c r="E998" s="2281"/>
      <c r="I998" s="2281"/>
      <c r="K998" s="2350"/>
      <c r="L998" s="2350"/>
      <c r="M998" s="2281"/>
      <c r="P998" s="2281"/>
    </row>
    <row r="999" spans="1:16">
      <c r="A999" s="2281"/>
      <c r="E999" s="2281"/>
      <c r="I999" s="2281"/>
      <c r="K999" s="2350"/>
      <c r="L999" s="2350"/>
      <c r="M999" s="2281"/>
      <c r="P999" s="2281"/>
    </row>
    <row r="1000" spans="1:16">
      <c r="A1000" s="2281"/>
      <c r="E1000" s="2281"/>
      <c r="I1000" s="2281"/>
      <c r="K1000" s="2350"/>
      <c r="L1000" s="2350"/>
      <c r="M1000" s="2281"/>
      <c r="P1000" s="2281"/>
    </row>
    <row r="1001" spans="1:16">
      <c r="A1001" s="2281"/>
      <c r="E1001" s="2281"/>
      <c r="I1001" s="2281"/>
      <c r="K1001" s="2350"/>
      <c r="L1001" s="2350"/>
      <c r="M1001" s="2281"/>
      <c r="P1001" s="2281"/>
    </row>
    <row r="1002" spans="1:16">
      <c r="A1002" s="2281"/>
      <c r="E1002" s="2281"/>
      <c r="I1002" s="2281"/>
      <c r="K1002" s="2350"/>
      <c r="L1002" s="2350"/>
      <c r="M1002" s="2281"/>
      <c r="P1002" s="2281"/>
    </row>
    <row r="1003" spans="1:16">
      <c r="A1003" s="2281"/>
      <c r="E1003" s="2281"/>
      <c r="I1003" s="2281"/>
      <c r="K1003" s="2350"/>
      <c r="L1003" s="2350"/>
      <c r="M1003" s="2281"/>
      <c r="P1003" s="2281"/>
    </row>
    <row r="1004" spans="1:16">
      <c r="A1004" s="2281"/>
      <c r="E1004" s="2281"/>
      <c r="I1004" s="2281"/>
      <c r="K1004" s="2350"/>
      <c r="L1004" s="2350"/>
      <c r="M1004" s="2281"/>
      <c r="P1004" s="2281"/>
    </row>
    <row r="1005" spans="1:16">
      <c r="A1005" s="2281"/>
      <c r="E1005" s="2281"/>
      <c r="I1005" s="2281"/>
      <c r="K1005" s="2350"/>
      <c r="L1005" s="2350"/>
      <c r="M1005" s="2281"/>
      <c r="P1005" s="2281"/>
    </row>
    <row r="1006" spans="1:16">
      <c r="A1006" s="2281"/>
      <c r="E1006" s="2281"/>
      <c r="I1006" s="2281"/>
      <c r="K1006" s="2350"/>
      <c r="L1006" s="2350"/>
      <c r="M1006" s="2281"/>
      <c r="P1006" s="2281"/>
    </row>
    <row r="1007" spans="1:16">
      <c r="A1007" s="2281"/>
      <c r="E1007" s="2281"/>
      <c r="I1007" s="2281"/>
      <c r="K1007" s="2350"/>
      <c r="L1007" s="2350"/>
      <c r="M1007" s="2281"/>
      <c r="P1007" s="2281"/>
    </row>
    <row r="1008" spans="1:16">
      <c r="A1008" s="2281"/>
      <c r="E1008" s="2281"/>
      <c r="I1008" s="2281"/>
      <c r="K1008" s="2350"/>
      <c r="L1008" s="2350"/>
      <c r="M1008" s="2281"/>
      <c r="P1008" s="2281"/>
    </row>
    <row r="1009" spans="1:16">
      <c r="A1009" s="2281"/>
      <c r="E1009" s="2281"/>
      <c r="I1009" s="2281"/>
      <c r="K1009" s="2350"/>
      <c r="L1009" s="2350"/>
      <c r="M1009" s="2281"/>
      <c r="P1009" s="2281"/>
    </row>
    <row r="1010" spans="1:16">
      <c r="A1010" s="2281"/>
      <c r="E1010" s="2281"/>
      <c r="I1010" s="2281"/>
      <c r="K1010" s="2350"/>
      <c r="L1010" s="2350"/>
      <c r="M1010" s="2281"/>
      <c r="P1010" s="2281"/>
    </row>
    <row r="1011" spans="1:16">
      <c r="A1011" s="2281"/>
      <c r="E1011" s="2281"/>
      <c r="I1011" s="2281"/>
      <c r="K1011" s="2350"/>
      <c r="L1011" s="2350"/>
      <c r="M1011" s="2281"/>
      <c r="P1011" s="2281"/>
    </row>
    <row r="1012" spans="1:16">
      <c r="A1012" s="2281"/>
      <c r="E1012" s="2281"/>
      <c r="I1012" s="2281"/>
      <c r="K1012" s="2350"/>
      <c r="L1012" s="2350"/>
      <c r="M1012" s="2281"/>
      <c r="P1012" s="2281"/>
    </row>
    <row r="1013" spans="1:16">
      <c r="A1013" s="2281"/>
      <c r="E1013" s="2281"/>
      <c r="I1013" s="2281"/>
      <c r="K1013" s="2350"/>
      <c r="L1013" s="2350"/>
      <c r="M1013" s="2281"/>
      <c r="P1013" s="2281"/>
    </row>
    <row r="1014" spans="1:16">
      <c r="A1014" s="2281"/>
      <c r="E1014" s="2281"/>
      <c r="I1014" s="2281"/>
      <c r="K1014" s="2350"/>
      <c r="L1014" s="2350"/>
      <c r="M1014" s="2281"/>
      <c r="P1014" s="2281"/>
    </row>
    <row r="1015" spans="1:16">
      <c r="A1015" s="2281"/>
      <c r="E1015" s="2281"/>
      <c r="I1015" s="2281"/>
      <c r="K1015" s="2350"/>
      <c r="L1015" s="2350"/>
      <c r="M1015" s="2281"/>
      <c r="P1015" s="2281"/>
    </row>
    <row r="1016" spans="1:16">
      <c r="A1016" s="2281"/>
      <c r="E1016" s="2281"/>
      <c r="I1016" s="2281"/>
      <c r="K1016" s="2350"/>
      <c r="L1016" s="2350"/>
      <c r="M1016" s="2281"/>
      <c r="P1016" s="2281"/>
    </row>
    <row r="1017" spans="1:16">
      <c r="A1017" s="2281"/>
      <c r="E1017" s="2281"/>
      <c r="I1017" s="2281"/>
      <c r="K1017" s="2350"/>
      <c r="L1017" s="2350"/>
      <c r="M1017" s="2281"/>
      <c r="P1017" s="2281"/>
    </row>
    <row r="1018" spans="1:16">
      <c r="A1018" s="2281"/>
      <c r="E1018" s="2281"/>
      <c r="I1018" s="2281"/>
      <c r="K1018" s="2350"/>
      <c r="L1018" s="2350"/>
      <c r="M1018" s="2281"/>
      <c r="P1018" s="2281"/>
    </row>
    <row r="1019" spans="1:16">
      <c r="A1019" s="2281"/>
      <c r="E1019" s="2281"/>
      <c r="I1019" s="2281"/>
      <c r="K1019" s="2350"/>
      <c r="L1019" s="2350"/>
      <c r="M1019" s="2281"/>
      <c r="P1019" s="2281"/>
    </row>
    <row r="1020" spans="1:16">
      <c r="A1020" s="2281"/>
      <c r="E1020" s="2281"/>
      <c r="I1020" s="2281"/>
      <c r="K1020" s="2350"/>
      <c r="L1020" s="2350"/>
      <c r="M1020" s="2281"/>
      <c r="P1020" s="2281"/>
    </row>
    <row r="1021" spans="1:16">
      <c r="A1021" s="2281"/>
      <c r="E1021" s="2281"/>
      <c r="I1021" s="2281"/>
      <c r="K1021" s="2350"/>
      <c r="L1021" s="2350"/>
      <c r="M1021" s="2281"/>
      <c r="P1021" s="2281"/>
    </row>
    <row r="1022" spans="1:16">
      <c r="A1022" s="2281"/>
      <c r="E1022" s="2281"/>
      <c r="I1022" s="2281"/>
      <c r="K1022" s="2350"/>
      <c r="L1022" s="2350"/>
      <c r="M1022" s="2281"/>
      <c r="P1022" s="2281"/>
    </row>
    <row r="1023" spans="1:16">
      <c r="A1023" s="2281"/>
      <c r="E1023" s="2281"/>
      <c r="I1023" s="2281"/>
      <c r="K1023" s="2350"/>
      <c r="L1023" s="2350"/>
      <c r="M1023" s="2281"/>
      <c r="P1023" s="2281"/>
    </row>
    <row r="1024" spans="1:16">
      <c r="A1024" s="2281"/>
      <c r="E1024" s="2281"/>
      <c r="I1024" s="2281"/>
      <c r="K1024" s="2350"/>
      <c r="L1024" s="2350"/>
      <c r="M1024" s="2281"/>
      <c r="P1024" s="2281"/>
    </row>
    <row r="1025" spans="1:16">
      <c r="A1025" s="2281"/>
      <c r="E1025" s="2281"/>
      <c r="I1025" s="2281"/>
      <c r="K1025" s="2350"/>
      <c r="L1025" s="2350"/>
      <c r="M1025" s="2281"/>
      <c r="P1025" s="2281"/>
    </row>
    <row r="1026" spans="1:16">
      <c r="A1026" s="2281"/>
      <c r="E1026" s="2281"/>
      <c r="I1026" s="2281"/>
      <c r="K1026" s="2350"/>
      <c r="L1026" s="2350"/>
      <c r="M1026" s="2281"/>
      <c r="P1026" s="2281"/>
    </row>
    <row r="1027" spans="1:16">
      <c r="A1027" s="2281"/>
      <c r="E1027" s="2281"/>
      <c r="I1027" s="2281"/>
      <c r="K1027" s="2350"/>
      <c r="L1027" s="2350"/>
      <c r="M1027" s="2281"/>
      <c r="P1027" s="2281"/>
    </row>
    <row r="1028" spans="1:16">
      <c r="A1028" s="2281"/>
      <c r="E1028" s="2281"/>
      <c r="I1028" s="2281"/>
      <c r="K1028" s="2350"/>
      <c r="L1028" s="2350"/>
      <c r="M1028" s="2281"/>
      <c r="P1028" s="2281"/>
    </row>
    <row r="1029" spans="1:16">
      <c r="A1029" s="2281"/>
      <c r="E1029" s="2281"/>
      <c r="I1029" s="2281"/>
      <c r="K1029" s="2350"/>
      <c r="L1029" s="2350"/>
      <c r="M1029" s="2281"/>
      <c r="P1029" s="2281"/>
    </row>
    <row r="1030" spans="1:16">
      <c r="A1030" s="2281"/>
      <c r="E1030" s="2281"/>
      <c r="I1030" s="2281"/>
      <c r="K1030" s="2350"/>
      <c r="L1030" s="2350"/>
      <c r="M1030" s="2281"/>
      <c r="P1030" s="2281"/>
    </row>
    <row r="1031" spans="1:16">
      <c r="A1031" s="2281"/>
      <c r="E1031" s="2281"/>
      <c r="I1031" s="2281"/>
      <c r="K1031" s="2350"/>
      <c r="L1031" s="2350"/>
      <c r="M1031" s="2281"/>
      <c r="P1031" s="2281"/>
    </row>
    <row r="1032" spans="1:16">
      <c r="A1032" s="2281"/>
      <c r="E1032" s="2281"/>
      <c r="I1032" s="2281"/>
      <c r="K1032" s="2350"/>
      <c r="L1032" s="2350"/>
      <c r="M1032" s="2281"/>
      <c r="P1032" s="2281"/>
    </row>
    <row r="1033" spans="1:16">
      <c r="A1033" s="2281"/>
      <c r="E1033" s="2281"/>
      <c r="I1033" s="2281"/>
      <c r="K1033" s="2350"/>
      <c r="L1033" s="2350"/>
      <c r="M1033" s="2281"/>
      <c r="P1033" s="2281"/>
    </row>
    <row r="1034" spans="1:16">
      <c r="A1034" s="2281"/>
      <c r="E1034" s="2281"/>
      <c r="I1034" s="2281"/>
      <c r="K1034" s="2350"/>
      <c r="L1034" s="2350"/>
      <c r="M1034" s="2281"/>
      <c r="P1034" s="2281"/>
    </row>
    <row r="1035" spans="1:16">
      <c r="A1035" s="2281"/>
      <c r="E1035" s="2281"/>
      <c r="I1035" s="2281"/>
      <c r="K1035" s="2350"/>
      <c r="L1035" s="2350"/>
      <c r="M1035" s="2281"/>
      <c r="P1035" s="2281"/>
    </row>
    <row r="1036" spans="1:16">
      <c r="A1036" s="2281"/>
      <c r="E1036" s="2281"/>
      <c r="I1036" s="2281"/>
      <c r="K1036" s="2350"/>
      <c r="L1036" s="2350"/>
      <c r="M1036" s="2281"/>
      <c r="P1036" s="2281"/>
    </row>
    <row r="1037" spans="1:16">
      <c r="A1037" s="2281"/>
      <c r="E1037" s="2281"/>
      <c r="I1037" s="2281"/>
      <c r="K1037" s="2350"/>
      <c r="L1037" s="2350"/>
      <c r="M1037" s="2281"/>
      <c r="P1037" s="2281"/>
    </row>
    <row r="1038" spans="1:16">
      <c r="A1038" s="2281"/>
      <c r="E1038" s="2281"/>
      <c r="I1038" s="2281"/>
      <c r="K1038" s="2350"/>
      <c r="L1038" s="2350"/>
      <c r="M1038" s="2281"/>
      <c r="P1038" s="2281"/>
    </row>
    <row r="1039" spans="1:16">
      <c r="A1039" s="2281"/>
      <c r="E1039" s="2281"/>
      <c r="I1039" s="2281"/>
      <c r="K1039" s="2350"/>
      <c r="L1039" s="2350"/>
      <c r="M1039" s="2281"/>
      <c r="P1039" s="2281"/>
    </row>
    <row r="1040" spans="1:16">
      <c r="A1040" s="2281"/>
      <c r="E1040" s="2281"/>
      <c r="I1040" s="2281"/>
      <c r="K1040" s="2350"/>
      <c r="L1040" s="2350"/>
      <c r="M1040" s="2281"/>
      <c r="P1040" s="2281"/>
    </row>
    <row r="1041" spans="1:16">
      <c r="A1041" s="2281"/>
      <c r="E1041" s="2281"/>
      <c r="I1041" s="2281"/>
      <c r="K1041" s="2350"/>
      <c r="L1041" s="2350"/>
      <c r="M1041" s="2281"/>
      <c r="P1041" s="2281"/>
    </row>
    <row r="1042" spans="1:16">
      <c r="A1042" s="2281"/>
      <c r="E1042" s="2281"/>
      <c r="I1042" s="2281"/>
      <c r="K1042" s="2350"/>
      <c r="L1042" s="2350"/>
      <c r="M1042" s="2281"/>
      <c r="P1042" s="2281"/>
    </row>
    <row r="1043" spans="1:16">
      <c r="A1043" s="2281"/>
      <c r="E1043" s="2281"/>
      <c r="I1043" s="2281"/>
      <c r="K1043" s="2350"/>
      <c r="L1043" s="2350"/>
      <c r="M1043" s="2281"/>
      <c r="P1043" s="2281"/>
    </row>
    <row r="1044" spans="1:16">
      <c r="A1044" s="2281"/>
      <c r="E1044" s="2281"/>
      <c r="I1044" s="2281"/>
      <c r="K1044" s="2350"/>
      <c r="L1044" s="2350"/>
      <c r="M1044" s="2281"/>
      <c r="P1044" s="2281"/>
    </row>
    <row r="1045" spans="1:16">
      <c r="A1045" s="2281"/>
      <c r="E1045" s="2281"/>
      <c r="I1045" s="2281"/>
      <c r="K1045" s="2350"/>
      <c r="L1045" s="2350"/>
      <c r="M1045" s="2281"/>
      <c r="P1045" s="2281"/>
    </row>
    <row r="1046" spans="1:16">
      <c r="A1046" s="2281"/>
      <c r="E1046" s="2281"/>
      <c r="I1046" s="2281"/>
      <c r="K1046" s="2350"/>
      <c r="L1046" s="2350"/>
      <c r="M1046" s="2281"/>
      <c r="P1046" s="2281"/>
    </row>
    <row r="1047" spans="1:16">
      <c r="A1047" s="2281"/>
      <c r="E1047" s="2281"/>
      <c r="I1047" s="2281"/>
      <c r="K1047" s="2350"/>
      <c r="L1047" s="2350"/>
      <c r="M1047" s="2281"/>
      <c r="P1047" s="2281"/>
    </row>
    <row r="1048" spans="1:16">
      <c r="A1048" s="2281"/>
      <c r="E1048" s="2281"/>
      <c r="I1048" s="2281"/>
      <c r="K1048" s="2350"/>
      <c r="L1048" s="2350"/>
      <c r="M1048" s="2281"/>
      <c r="P1048" s="2281"/>
    </row>
    <row r="1049" spans="1:16">
      <c r="A1049" s="2281"/>
      <c r="E1049" s="2281"/>
      <c r="I1049" s="2281"/>
      <c r="K1049" s="2350"/>
      <c r="L1049" s="2350"/>
      <c r="M1049" s="2281"/>
      <c r="P1049" s="2281"/>
    </row>
    <row r="1050" spans="1:16">
      <c r="A1050" s="2281"/>
      <c r="E1050" s="2281"/>
      <c r="I1050" s="2281"/>
      <c r="K1050" s="2350"/>
      <c r="L1050" s="2350"/>
      <c r="M1050" s="2281"/>
      <c r="P1050" s="2281"/>
    </row>
    <row r="1051" spans="1:16">
      <c r="A1051" s="2281"/>
      <c r="E1051" s="2281"/>
      <c r="I1051" s="2281"/>
      <c r="K1051" s="2350"/>
      <c r="L1051" s="2350"/>
      <c r="M1051" s="2281"/>
      <c r="P1051" s="2281"/>
    </row>
    <row r="1052" spans="1:16">
      <c r="A1052" s="2281"/>
      <c r="E1052" s="2281"/>
      <c r="I1052" s="2281"/>
      <c r="K1052" s="2350"/>
      <c r="L1052" s="2350"/>
      <c r="M1052" s="2281"/>
      <c r="P1052" s="2281"/>
    </row>
    <row r="1053" spans="1:16">
      <c r="A1053" s="2281"/>
      <c r="E1053" s="2281"/>
      <c r="I1053" s="2281"/>
      <c r="K1053" s="2350"/>
      <c r="L1053" s="2350"/>
      <c r="M1053" s="2281"/>
      <c r="P1053" s="2281"/>
    </row>
    <row r="1054" spans="1:16">
      <c r="A1054" s="2281"/>
      <c r="E1054" s="2281"/>
      <c r="I1054" s="2281"/>
      <c r="K1054" s="2350"/>
      <c r="L1054" s="2350"/>
      <c r="M1054" s="2281"/>
      <c r="P1054" s="2281"/>
    </row>
    <row r="1055" spans="1:16">
      <c r="A1055" s="2281"/>
      <c r="E1055" s="2281"/>
      <c r="I1055" s="2281"/>
      <c r="K1055" s="2350"/>
      <c r="L1055" s="2350"/>
      <c r="M1055" s="2281"/>
      <c r="P1055" s="2281"/>
    </row>
    <row r="1056" spans="1:16">
      <c r="A1056" s="2281"/>
      <c r="E1056" s="2281"/>
      <c r="I1056" s="2281"/>
      <c r="K1056" s="2350"/>
      <c r="L1056" s="2350"/>
      <c r="M1056" s="2281"/>
      <c r="P1056" s="2281"/>
    </row>
    <row r="1057" spans="1:16">
      <c r="A1057" s="2281"/>
      <c r="E1057" s="2281"/>
      <c r="I1057" s="2281"/>
      <c r="K1057" s="2350"/>
      <c r="L1057" s="2350"/>
      <c r="M1057" s="2281"/>
      <c r="P1057" s="2281"/>
    </row>
    <row r="1058" spans="1:16">
      <c r="A1058" s="2281"/>
      <c r="E1058" s="2281"/>
      <c r="I1058" s="2281"/>
      <c r="K1058" s="2350"/>
      <c r="L1058" s="2350"/>
      <c r="M1058" s="2281"/>
      <c r="P1058" s="2281"/>
    </row>
    <row r="1059" spans="1:16">
      <c r="A1059" s="2281"/>
      <c r="E1059" s="2281"/>
      <c r="I1059" s="2281"/>
      <c r="K1059" s="2350"/>
      <c r="L1059" s="2350"/>
      <c r="M1059" s="2281"/>
      <c r="P1059" s="2281"/>
    </row>
    <row r="1060" spans="1:16">
      <c r="A1060" s="2281"/>
      <c r="E1060" s="2281"/>
      <c r="I1060" s="2281"/>
      <c r="K1060" s="2350"/>
      <c r="L1060" s="2350"/>
      <c r="M1060" s="2281"/>
      <c r="P1060" s="2281"/>
    </row>
    <row r="1061" spans="1:16">
      <c r="A1061" s="2281"/>
      <c r="E1061" s="2281"/>
      <c r="I1061" s="2281"/>
      <c r="K1061" s="2350"/>
      <c r="L1061" s="2350"/>
      <c r="M1061" s="2281"/>
      <c r="P1061" s="2281"/>
    </row>
    <row r="1062" spans="1:16">
      <c r="A1062" s="2281"/>
      <c r="E1062" s="2281"/>
      <c r="I1062" s="2281"/>
      <c r="K1062" s="2350"/>
      <c r="L1062" s="2350"/>
      <c r="M1062" s="2281"/>
      <c r="P1062" s="2281"/>
    </row>
    <row r="1063" spans="1:16">
      <c r="A1063" s="2281"/>
      <c r="E1063" s="2281"/>
      <c r="I1063" s="2281"/>
      <c r="K1063" s="2350"/>
      <c r="L1063" s="2350"/>
      <c r="M1063" s="2281"/>
      <c r="P1063" s="2281"/>
    </row>
    <row r="1064" spans="1:16">
      <c r="A1064" s="2281"/>
      <c r="E1064" s="2281"/>
      <c r="I1064" s="2281"/>
      <c r="K1064" s="2350"/>
      <c r="L1064" s="2350"/>
      <c r="M1064" s="2281"/>
      <c r="P1064" s="2281"/>
    </row>
    <row r="1065" spans="1:16">
      <c r="A1065" s="2281"/>
      <c r="E1065" s="2281"/>
      <c r="I1065" s="2281"/>
      <c r="K1065" s="2350"/>
      <c r="L1065" s="2350"/>
      <c r="M1065" s="2281"/>
      <c r="P1065" s="2281"/>
    </row>
    <row r="1066" spans="1:16">
      <c r="A1066" s="2281"/>
      <c r="E1066" s="2281"/>
      <c r="I1066" s="2281"/>
      <c r="K1066" s="2350"/>
      <c r="L1066" s="2350"/>
      <c r="M1066" s="2281"/>
      <c r="P1066" s="2281"/>
    </row>
    <row r="1067" spans="1:16">
      <c r="A1067" s="2281"/>
      <c r="E1067" s="2281"/>
      <c r="I1067" s="2281"/>
      <c r="K1067" s="2350"/>
      <c r="L1067" s="2350"/>
      <c r="M1067" s="2281"/>
      <c r="P1067" s="2281"/>
    </row>
    <row r="1068" spans="1:16">
      <c r="A1068" s="2281"/>
      <c r="E1068" s="2281"/>
      <c r="I1068" s="2281"/>
      <c r="K1068" s="2350"/>
      <c r="L1068" s="2350"/>
      <c r="M1068" s="2281"/>
      <c r="P1068" s="2281"/>
    </row>
    <row r="1069" spans="1:16">
      <c r="A1069" s="2281"/>
      <c r="E1069" s="2281"/>
      <c r="I1069" s="2281"/>
      <c r="K1069" s="2350"/>
      <c r="L1069" s="2350"/>
      <c r="M1069" s="2281"/>
      <c r="P1069" s="2281"/>
    </row>
    <row r="1070" spans="1:16">
      <c r="A1070" s="2281"/>
      <c r="E1070" s="2281"/>
      <c r="I1070" s="2281"/>
      <c r="K1070" s="2350"/>
      <c r="L1070" s="2350"/>
      <c r="M1070" s="2281"/>
      <c r="P1070" s="2281"/>
    </row>
    <row r="1071" spans="1:16">
      <c r="A1071" s="2281"/>
      <c r="E1071" s="2281"/>
      <c r="I1071" s="2281"/>
      <c r="K1071" s="2350"/>
      <c r="L1071" s="2350"/>
      <c r="M1071" s="2281"/>
      <c r="P1071" s="2281"/>
    </row>
    <row r="1072" spans="1:16">
      <c r="A1072" s="2281"/>
      <c r="E1072" s="2281"/>
      <c r="I1072" s="2281"/>
      <c r="K1072" s="2350"/>
      <c r="L1072" s="2350"/>
      <c r="M1072" s="2281"/>
      <c r="P1072" s="2281"/>
    </row>
    <row r="1073" spans="1:16">
      <c r="A1073" s="2281"/>
      <c r="E1073" s="2281"/>
      <c r="I1073" s="2281"/>
      <c r="K1073" s="2350"/>
      <c r="L1073" s="2350"/>
      <c r="M1073" s="2281"/>
      <c r="P1073" s="2281"/>
    </row>
    <row r="1074" spans="1:16">
      <c r="A1074" s="2281"/>
      <c r="E1074" s="2281"/>
      <c r="I1074" s="2281"/>
      <c r="K1074" s="2350"/>
      <c r="L1074" s="2350"/>
      <c r="M1074" s="2281"/>
      <c r="P1074" s="2281"/>
    </row>
    <row r="1075" spans="1:16">
      <c r="A1075" s="2281"/>
      <c r="E1075" s="2281"/>
      <c r="I1075" s="2281"/>
      <c r="K1075" s="2350"/>
      <c r="L1075" s="2350"/>
      <c r="M1075" s="2281"/>
      <c r="P1075" s="2281"/>
    </row>
    <row r="1076" spans="1:16">
      <c r="A1076" s="2281"/>
      <c r="E1076" s="2281"/>
      <c r="I1076" s="2281"/>
      <c r="K1076" s="2350"/>
      <c r="L1076" s="2350"/>
      <c r="M1076" s="2281"/>
      <c r="P1076" s="2281"/>
    </row>
    <row r="1077" spans="1:16">
      <c r="A1077" s="2281"/>
      <c r="E1077" s="2281"/>
      <c r="I1077" s="2281"/>
      <c r="K1077" s="2350"/>
      <c r="L1077" s="2350"/>
      <c r="M1077" s="2281"/>
      <c r="P1077" s="2281"/>
    </row>
    <row r="1078" spans="1:16">
      <c r="A1078" s="2281"/>
      <c r="E1078" s="2281"/>
      <c r="I1078" s="2281"/>
      <c r="K1078" s="2350"/>
      <c r="L1078" s="2350"/>
      <c r="M1078" s="2281"/>
      <c r="P1078" s="2281"/>
    </row>
    <row r="1079" spans="1:16">
      <c r="A1079" s="2281"/>
      <c r="E1079" s="2281"/>
      <c r="I1079" s="2281"/>
      <c r="K1079" s="2350"/>
      <c r="L1079" s="2350"/>
      <c r="M1079" s="2281"/>
      <c r="P1079" s="2281"/>
    </row>
    <row r="1080" spans="1:16">
      <c r="A1080" s="2281"/>
      <c r="E1080" s="2281"/>
      <c r="I1080" s="2281"/>
      <c r="K1080" s="2350"/>
      <c r="L1080" s="2350"/>
      <c r="M1080" s="2281"/>
      <c r="P1080" s="2281"/>
    </row>
    <row r="1081" spans="1:16">
      <c r="A1081" s="2281"/>
      <c r="E1081" s="2281"/>
      <c r="I1081" s="2281"/>
      <c r="K1081" s="2350"/>
      <c r="L1081" s="2350"/>
      <c r="M1081" s="2281"/>
      <c r="P1081" s="2281"/>
    </row>
    <row r="1082" spans="1:16">
      <c r="A1082" s="2281"/>
      <c r="E1082" s="2281"/>
      <c r="I1082" s="2281"/>
      <c r="K1082" s="2350"/>
      <c r="L1082" s="2350"/>
      <c r="M1082" s="2281"/>
      <c r="P1082" s="2281"/>
    </row>
    <row r="1083" spans="1:16">
      <c r="A1083" s="2281"/>
      <c r="E1083" s="2281"/>
      <c r="I1083" s="2281"/>
      <c r="K1083" s="2350"/>
      <c r="L1083" s="2350"/>
      <c r="M1083" s="2281"/>
      <c r="P1083" s="2281"/>
    </row>
    <row r="1084" spans="1:16">
      <c r="A1084" s="2281"/>
      <c r="E1084" s="2281"/>
      <c r="I1084" s="2281"/>
      <c r="K1084" s="2350"/>
      <c r="L1084" s="2350"/>
      <c r="M1084" s="2281"/>
      <c r="P1084" s="2281"/>
    </row>
    <row r="1085" spans="1:16">
      <c r="A1085" s="2281"/>
      <c r="E1085" s="2281"/>
      <c r="I1085" s="2281"/>
      <c r="K1085" s="2350"/>
      <c r="L1085" s="2350"/>
      <c r="M1085" s="2281"/>
      <c r="P1085" s="2281"/>
    </row>
    <row r="1086" spans="1:16">
      <c r="A1086" s="2281"/>
      <c r="E1086" s="2281"/>
      <c r="I1086" s="2281"/>
      <c r="K1086" s="2350"/>
      <c r="L1086" s="2350"/>
      <c r="M1086" s="2281"/>
      <c r="P1086" s="2281"/>
    </row>
    <row r="1087" spans="1:16">
      <c r="A1087" s="2281"/>
      <c r="E1087" s="2281"/>
      <c r="I1087" s="2281"/>
      <c r="K1087" s="2350"/>
      <c r="L1087" s="2350"/>
      <c r="M1087" s="2281"/>
      <c r="P1087" s="2281"/>
    </row>
    <row r="1088" spans="1:16">
      <c r="A1088" s="2281"/>
      <c r="E1088" s="2281"/>
      <c r="I1088" s="2281"/>
      <c r="K1088" s="2350"/>
      <c r="L1088" s="2350"/>
      <c r="M1088" s="2281"/>
      <c r="P1088" s="2281"/>
    </row>
    <row r="1089" spans="1:16">
      <c r="A1089" s="2281"/>
      <c r="E1089" s="2281"/>
      <c r="I1089" s="2281"/>
      <c r="K1089" s="2350"/>
      <c r="L1089" s="2350"/>
      <c r="M1089" s="2281"/>
      <c r="P1089" s="2281"/>
    </row>
    <row r="1090" spans="1:16">
      <c r="A1090" s="2281"/>
      <c r="E1090" s="2281"/>
      <c r="I1090" s="2281"/>
      <c r="K1090" s="2350"/>
      <c r="L1090" s="2350"/>
      <c r="M1090" s="2281"/>
      <c r="P1090" s="2281"/>
    </row>
    <row r="1091" spans="1:16">
      <c r="A1091" s="2281"/>
      <c r="E1091" s="2281"/>
      <c r="I1091" s="2281"/>
      <c r="K1091" s="2350"/>
      <c r="L1091" s="2350"/>
      <c r="M1091" s="2281"/>
      <c r="P1091" s="2281"/>
    </row>
    <row r="1092" spans="1:16">
      <c r="A1092" s="2281"/>
      <c r="E1092" s="2281"/>
      <c r="I1092" s="2281"/>
      <c r="K1092" s="2350"/>
      <c r="L1092" s="2350"/>
      <c r="M1092" s="2281"/>
      <c r="P1092" s="2281"/>
    </row>
    <row r="1093" spans="1:16">
      <c r="A1093" s="2281"/>
      <c r="E1093" s="2281"/>
      <c r="I1093" s="2281"/>
      <c r="K1093" s="2350"/>
      <c r="L1093" s="2350"/>
      <c r="M1093" s="2281"/>
      <c r="P1093" s="2281"/>
    </row>
    <row r="1094" spans="1:16">
      <c r="A1094" s="2281"/>
      <c r="E1094" s="2281"/>
      <c r="I1094" s="2281"/>
      <c r="K1094" s="2350"/>
      <c r="L1094" s="2350"/>
      <c r="M1094" s="2281"/>
      <c r="P1094" s="2281"/>
    </row>
    <row r="1095" spans="1:16">
      <c r="A1095" s="2281"/>
      <c r="E1095" s="2281"/>
      <c r="I1095" s="2281"/>
      <c r="K1095" s="2350"/>
      <c r="L1095" s="2350"/>
      <c r="M1095" s="2281"/>
      <c r="P1095" s="2281"/>
    </row>
    <row r="1096" spans="1:16">
      <c r="A1096" s="2281"/>
      <c r="E1096" s="2281"/>
      <c r="I1096" s="2281"/>
      <c r="K1096" s="2350"/>
      <c r="L1096" s="2350"/>
      <c r="M1096" s="2281"/>
      <c r="P1096" s="2281"/>
    </row>
    <row r="1097" spans="1:16">
      <c r="A1097" s="2281"/>
      <c r="E1097" s="2281"/>
      <c r="I1097" s="2281"/>
      <c r="K1097" s="2350"/>
      <c r="L1097" s="2350"/>
      <c r="M1097" s="2281"/>
      <c r="P1097" s="2281"/>
    </row>
    <row r="1098" spans="1:16">
      <c r="A1098" s="2281"/>
      <c r="E1098" s="2281"/>
      <c r="I1098" s="2281"/>
      <c r="K1098" s="2350"/>
      <c r="L1098" s="2350"/>
      <c r="M1098" s="2281"/>
      <c r="P1098" s="2281"/>
    </row>
    <row r="1099" spans="1:16">
      <c r="A1099" s="2281"/>
      <c r="E1099" s="2281"/>
      <c r="I1099" s="2281"/>
      <c r="K1099" s="2350"/>
      <c r="L1099" s="2350"/>
      <c r="M1099" s="2281"/>
      <c r="P1099" s="2281"/>
    </row>
    <row r="1100" spans="1:16">
      <c r="A1100" s="2281"/>
      <c r="E1100" s="2281"/>
      <c r="I1100" s="2281"/>
      <c r="K1100" s="2350"/>
      <c r="L1100" s="2350"/>
      <c r="M1100" s="2281"/>
      <c r="P1100" s="2281"/>
    </row>
    <row r="1101" spans="1:16">
      <c r="A1101" s="2281"/>
      <c r="E1101" s="2281"/>
      <c r="I1101" s="2281"/>
      <c r="K1101" s="2350"/>
      <c r="L1101" s="2350"/>
      <c r="M1101" s="2281"/>
      <c r="P1101" s="2281"/>
    </row>
    <row r="1102" spans="1:16">
      <c r="A1102" s="2281"/>
      <c r="E1102" s="2281"/>
      <c r="I1102" s="2281"/>
      <c r="K1102" s="2350"/>
      <c r="L1102" s="2350"/>
      <c r="M1102" s="2281"/>
      <c r="P1102" s="2281"/>
    </row>
    <row r="1103" spans="1:16">
      <c r="A1103" s="2281"/>
      <c r="E1103" s="2281"/>
      <c r="I1103" s="2281"/>
      <c r="K1103" s="2350"/>
      <c r="L1103" s="2350"/>
      <c r="M1103" s="2281"/>
      <c r="P1103" s="2281"/>
    </row>
    <row r="1104" spans="1:16">
      <c r="A1104" s="2281"/>
      <c r="E1104" s="2281"/>
      <c r="I1104" s="2281"/>
      <c r="K1104" s="2350"/>
      <c r="L1104" s="2350"/>
      <c r="M1104" s="2281"/>
      <c r="P1104" s="2281"/>
    </row>
    <row r="1105" spans="1:16">
      <c r="A1105" s="2281"/>
      <c r="E1105" s="2281"/>
      <c r="I1105" s="2281"/>
      <c r="K1105" s="2350"/>
      <c r="L1105" s="2350"/>
      <c r="M1105" s="2281"/>
      <c r="P1105" s="2281"/>
    </row>
    <row r="1106" spans="1:16">
      <c r="A1106" s="2281"/>
      <c r="E1106" s="2281"/>
      <c r="I1106" s="2281"/>
      <c r="K1106" s="2350"/>
      <c r="L1106" s="2350"/>
      <c r="M1106" s="2281"/>
      <c r="P1106" s="2281"/>
    </row>
    <row r="1107" spans="1:16">
      <c r="A1107" s="2281"/>
      <c r="E1107" s="2281"/>
      <c r="I1107" s="2281"/>
      <c r="K1107" s="2350"/>
      <c r="L1107" s="2350"/>
      <c r="M1107" s="2281"/>
      <c r="P1107" s="2281"/>
    </row>
    <row r="1108" spans="1:16">
      <c r="A1108" s="2281"/>
      <c r="E1108" s="2281"/>
      <c r="I1108" s="2281"/>
      <c r="K1108" s="2350"/>
      <c r="L1108" s="2350"/>
      <c r="M1108" s="2281"/>
      <c r="P1108" s="2281"/>
    </row>
    <row r="1109" spans="1:16">
      <c r="A1109" s="2281"/>
      <c r="E1109" s="2281"/>
      <c r="I1109" s="2281"/>
      <c r="K1109" s="2350"/>
      <c r="L1109" s="2350"/>
      <c r="M1109" s="2281"/>
      <c r="P1109" s="2281"/>
    </row>
    <row r="1110" spans="1:16">
      <c r="A1110" s="2281"/>
      <c r="E1110" s="2281"/>
      <c r="I1110" s="2281"/>
      <c r="K1110" s="2350"/>
      <c r="L1110" s="2350"/>
      <c r="M1110" s="2281"/>
      <c r="P1110" s="2281"/>
    </row>
    <row r="1111" spans="1:16">
      <c r="A1111" s="2281"/>
      <c r="E1111" s="2281"/>
      <c r="I1111" s="2281"/>
      <c r="K1111" s="2350"/>
      <c r="L1111" s="2350"/>
      <c r="M1111" s="2281"/>
      <c r="P1111" s="2281"/>
    </row>
    <row r="1112" spans="1:16">
      <c r="A1112" s="2281"/>
      <c r="E1112" s="2281"/>
      <c r="I1112" s="2281"/>
      <c r="K1112" s="2350"/>
      <c r="L1112" s="2350"/>
      <c r="M1112" s="2281"/>
      <c r="P1112" s="2281"/>
    </row>
    <row r="1113" spans="1:16">
      <c r="A1113" s="2281"/>
      <c r="E1113" s="2281"/>
      <c r="I1113" s="2281"/>
      <c r="K1113" s="2350"/>
      <c r="L1113" s="2350"/>
      <c r="M1113" s="2281"/>
      <c r="P1113" s="2281"/>
    </row>
    <row r="1114" spans="1:16">
      <c r="A1114" s="2281"/>
      <c r="E1114" s="2281"/>
      <c r="I1114" s="2281"/>
      <c r="K1114" s="2350"/>
      <c r="L1114" s="2350"/>
      <c r="M1114" s="2281"/>
      <c r="P1114" s="2281"/>
    </row>
    <row r="1115" spans="1:16">
      <c r="A1115" s="2281"/>
      <c r="E1115" s="2281"/>
      <c r="I1115" s="2281"/>
      <c r="K1115" s="2350"/>
      <c r="L1115" s="2350"/>
      <c r="M1115" s="2281"/>
      <c r="P1115" s="2281"/>
    </row>
    <row r="1116" spans="1:16">
      <c r="A1116" s="2281"/>
      <c r="E1116" s="2281"/>
      <c r="I1116" s="2281"/>
      <c r="K1116" s="2350"/>
      <c r="L1116" s="2350"/>
      <c r="M1116" s="2281"/>
      <c r="P1116" s="2281"/>
    </row>
    <row r="1117" spans="1:16">
      <c r="A1117" s="2281"/>
      <c r="E1117" s="2281"/>
      <c r="I1117" s="2281"/>
      <c r="K1117" s="2350"/>
      <c r="L1117" s="2350"/>
      <c r="M1117" s="2281"/>
      <c r="P1117" s="2281"/>
    </row>
    <row r="1118" spans="1:16">
      <c r="A1118" s="2281"/>
      <c r="E1118" s="2281"/>
      <c r="I1118" s="2281"/>
      <c r="K1118" s="2350"/>
      <c r="L1118" s="2350"/>
      <c r="M1118" s="2281"/>
      <c r="P1118" s="2281"/>
    </row>
    <row r="1119" spans="1:16">
      <c r="A1119" s="2281"/>
      <c r="E1119" s="2281"/>
      <c r="I1119" s="2281"/>
      <c r="K1119" s="2350"/>
      <c r="L1119" s="2350"/>
      <c r="M1119" s="2281"/>
      <c r="P1119" s="2281"/>
    </row>
    <row r="1120" spans="1:16">
      <c r="A1120" s="2281"/>
      <c r="E1120" s="2281"/>
      <c r="I1120" s="2281"/>
      <c r="K1120" s="2350"/>
      <c r="L1120" s="2350"/>
      <c r="M1120" s="2281"/>
      <c r="P1120" s="2281"/>
    </row>
    <row r="1121" spans="1:16">
      <c r="A1121" s="2281"/>
      <c r="E1121" s="2281"/>
      <c r="I1121" s="2281"/>
      <c r="K1121" s="2350"/>
      <c r="L1121" s="2350"/>
      <c r="M1121" s="2281"/>
      <c r="P1121" s="2281"/>
    </row>
    <row r="1122" spans="1:16">
      <c r="A1122" s="2281"/>
      <c r="E1122" s="2281"/>
      <c r="I1122" s="2281"/>
      <c r="K1122" s="2350"/>
      <c r="L1122" s="2350"/>
      <c r="M1122" s="2281"/>
      <c r="P1122" s="2281"/>
    </row>
    <row r="1123" spans="1:16">
      <c r="A1123" s="2281"/>
      <c r="E1123" s="2281"/>
      <c r="I1123" s="2281"/>
      <c r="K1123" s="2350"/>
      <c r="L1123" s="2350"/>
      <c r="M1123" s="2281"/>
      <c r="P1123" s="2281"/>
    </row>
    <row r="1124" spans="1:16">
      <c r="A1124" s="2281"/>
      <c r="E1124" s="2281"/>
      <c r="I1124" s="2281"/>
      <c r="K1124" s="2350"/>
      <c r="L1124" s="2350"/>
      <c r="M1124" s="2281"/>
      <c r="P1124" s="2281"/>
    </row>
    <row r="1125" spans="1:16">
      <c r="A1125" s="2281"/>
      <c r="E1125" s="2281"/>
      <c r="I1125" s="2281"/>
      <c r="K1125" s="2350"/>
      <c r="L1125" s="2350"/>
      <c r="M1125" s="2281"/>
      <c r="P1125" s="2281"/>
    </row>
    <row r="1126" spans="1:16">
      <c r="A1126" s="2281"/>
      <c r="E1126" s="2281"/>
      <c r="I1126" s="2281"/>
      <c r="K1126" s="2350"/>
      <c r="L1126" s="2350"/>
      <c r="M1126" s="2281"/>
      <c r="P1126" s="2281"/>
    </row>
    <row r="1127" spans="1:16">
      <c r="A1127" s="2281"/>
      <c r="E1127" s="2281"/>
      <c r="I1127" s="2281"/>
      <c r="K1127" s="2350"/>
      <c r="L1127" s="2350"/>
      <c r="M1127" s="2281"/>
      <c r="P1127" s="2281"/>
    </row>
    <row r="1128" spans="1:16">
      <c r="A1128" s="2281"/>
      <c r="E1128" s="2281"/>
      <c r="I1128" s="2281"/>
      <c r="K1128" s="2350"/>
      <c r="L1128" s="2350"/>
      <c r="M1128" s="2281"/>
      <c r="P1128" s="2281"/>
    </row>
    <row r="1129" spans="1:16">
      <c r="A1129" s="2281"/>
      <c r="E1129" s="2281"/>
      <c r="I1129" s="2281"/>
      <c r="K1129" s="2350"/>
      <c r="L1129" s="2350"/>
      <c r="M1129" s="2281"/>
      <c r="P1129" s="2281"/>
    </row>
    <row r="1130" spans="1:16">
      <c r="A1130" s="2281"/>
      <c r="E1130" s="2281"/>
      <c r="I1130" s="2281"/>
      <c r="K1130" s="2350"/>
      <c r="L1130" s="2350"/>
      <c r="M1130" s="2281"/>
      <c r="P1130" s="2281"/>
    </row>
    <row r="1131" spans="1:16">
      <c r="A1131" s="2281"/>
      <c r="E1131" s="2281"/>
      <c r="I1131" s="2281"/>
      <c r="K1131" s="2350"/>
      <c r="L1131" s="2350"/>
      <c r="M1131" s="2281"/>
      <c r="P1131" s="2281"/>
    </row>
    <row r="1132" spans="1:16">
      <c r="A1132" s="2281"/>
      <c r="E1132" s="2281"/>
      <c r="I1132" s="2281"/>
      <c r="K1132" s="2350"/>
      <c r="L1132" s="2350"/>
      <c r="M1132" s="2281"/>
      <c r="P1132" s="2281"/>
    </row>
    <row r="1133" spans="1:16">
      <c r="A1133" s="2281"/>
      <c r="E1133" s="2281"/>
      <c r="I1133" s="2281"/>
      <c r="K1133" s="2350"/>
      <c r="L1133" s="2350"/>
      <c r="M1133" s="2281"/>
      <c r="P1133" s="2281"/>
    </row>
    <row r="1134" spans="1:16">
      <c r="A1134" s="2281"/>
      <c r="E1134" s="2281"/>
      <c r="I1134" s="2281"/>
      <c r="K1134" s="2350"/>
      <c r="L1134" s="2350"/>
      <c r="M1134" s="2281"/>
      <c r="P1134" s="2281"/>
    </row>
    <row r="1135" spans="1:16">
      <c r="A1135" s="2281"/>
      <c r="E1135" s="2281"/>
      <c r="I1135" s="2281"/>
      <c r="K1135" s="2350"/>
      <c r="L1135" s="2350"/>
      <c r="M1135" s="2281"/>
      <c r="P1135" s="2281"/>
    </row>
    <row r="1136" spans="1:16">
      <c r="A1136" s="2281"/>
      <c r="E1136" s="2281"/>
      <c r="I1136" s="2281"/>
      <c r="K1136" s="2350"/>
      <c r="L1136" s="2350"/>
      <c r="M1136" s="2281"/>
      <c r="P1136" s="2281"/>
    </row>
    <row r="1137" spans="1:16">
      <c r="A1137" s="2281"/>
      <c r="E1137" s="2281"/>
      <c r="I1137" s="2281"/>
      <c r="K1137" s="2350"/>
      <c r="L1137" s="2350"/>
      <c r="M1137" s="2281"/>
      <c r="P1137" s="2281"/>
    </row>
    <row r="1138" spans="1:16">
      <c r="A1138" s="2281"/>
      <c r="E1138" s="2281"/>
      <c r="I1138" s="2281"/>
      <c r="K1138" s="2350"/>
      <c r="L1138" s="2350"/>
      <c r="M1138" s="2281"/>
      <c r="P1138" s="2281"/>
    </row>
    <row r="1139" spans="1:16">
      <c r="A1139" s="2281"/>
      <c r="E1139" s="2281"/>
      <c r="I1139" s="2281"/>
      <c r="K1139" s="2350"/>
      <c r="L1139" s="2350"/>
      <c r="M1139" s="2281"/>
      <c r="P1139" s="2281"/>
    </row>
    <row r="1140" spans="1:16">
      <c r="A1140" s="2281"/>
      <c r="E1140" s="2281"/>
      <c r="I1140" s="2281"/>
      <c r="K1140" s="2350"/>
      <c r="L1140" s="2350"/>
      <c r="M1140" s="2281"/>
      <c r="P1140" s="2281"/>
    </row>
    <row r="1141" spans="1:16">
      <c r="A1141" s="2281"/>
      <c r="E1141" s="2281"/>
      <c r="I1141" s="2281"/>
      <c r="K1141" s="2350"/>
      <c r="L1141" s="2350"/>
      <c r="M1141" s="2281"/>
      <c r="P1141" s="2281"/>
    </row>
    <row r="1142" spans="1:16">
      <c r="A1142" s="2281"/>
      <c r="E1142" s="2281"/>
      <c r="I1142" s="2281"/>
      <c r="K1142" s="2350"/>
      <c r="L1142" s="2350"/>
      <c r="M1142" s="2281"/>
      <c r="P1142" s="2281"/>
    </row>
    <row r="1143" spans="1:16">
      <c r="A1143" s="2281"/>
      <c r="E1143" s="2281"/>
      <c r="I1143" s="2281"/>
      <c r="K1143" s="2350"/>
      <c r="L1143" s="2350"/>
      <c r="M1143" s="2281"/>
      <c r="P1143" s="2281"/>
    </row>
    <row r="1144" spans="1:16">
      <c r="A1144" s="2281"/>
      <c r="E1144" s="2281"/>
      <c r="I1144" s="2281"/>
      <c r="K1144" s="2350"/>
      <c r="L1144" s="2350"/>
      <c r="M1144" s="2281"/>
      <c r="P1144" s="2281"/>
    </row>
    <row r="1145" spans="1:16">
      <c r="A1145" s="2281"/>
      <c r="E1145" s="2281"/>
      <c r="I1145" s="2281"/>
      <c r="K1145" s="2350"/>
      <c r="L1145" s="2350"/>
      <c r="M1145" s="2281"/>
      <c r="P1145" s="2281"/>
    </row>
    <row r="1146" spans="1:16">
      <c r="A1146" s="2281"/>
      <c r="E1146" s="2281"/>
      <c r="I1146" s="2281"/>
      <c r="K1146" s="2350"/>
      <c r="L1146" s="2350"/>
      <c r="M1146" s="2281"/>
      <c r="P1146" s="2281"/>
    </row>
    <row r="1147" spans="1:16">
      <c r="A1147" s="2281"/>
      <c r="E1147" s="2281"/>
      <c r="I1147" s="2281"/>
      <c r="K1147" s="2350"/>
      <c r="L1147" s="2350"/>
      <c r="M1147" s="2281"/>
      <c r="P1147" s="2281"/>
    </row>
    <row r="1148" spans="1:16">
      <c r="A1148" s="2281"/>
      <c r="E1148" s="2281"/>
      <c r="I1148" s="2281"/>
      <c r="K1148" s="2350"/>
      <c r="L1148" s="2350"/>
      <c r="M1148" s="2281"/>
      <c r="P1148" s="2281"/>
    </row>
    <row r="1149" spans="1:16">
      <c r="A1149" s="2281"/>
      <c r="E1149" s="2281"/>
      <c r="I1149" s="2281"/>
      <c r="K1149" s="2350"/>
      <c r="L1149" s="2350"/>
      <c r="M1149" s="2281"/>
      <c r="P1149" s="2281"/>
    </row>
    <row r="1150" spans="1:16">
      <c r="A1150" s="2281"/>
      <c r="E1150" s="2281"/>
      <c r="I1150" s="2281"/>
      <c r="K1150" s="2350"/>
      <c r="L1150" s="2350"/>
      <c r="M1150" s="2281"/>
      <c r="P1150" s="2281"/>
    </row>
    <row r="1151" spans="1:16">
      <c r="A1151" s="2281"/>
      <c r="E1151" s="2281"/>
      <c r="I1151" s="2281"/>
      <c r="K1151" s="2350"/>
      <c r="L1151" s="2350"/>
      <c r="M1151" s="2281"/>
      <c r="P1151" s="2281"/>
    </row>
    <row r="1152" spans="1:16">
      <c r="A1152" s="2281"/>
      <c r="E1152" s="2281"/>
      <c r="I1152" s="2281"/>
      <c r="K1152" s="2350"/>
      <c r="L1152" s="2350"/>
      <c r="M1152" s="2281"/>
      <c r="P1152" s="2281"/>
    </row>
    <row r="1153" spans="1:16">
      <c r="A1153" s="2281"/>
      <c r="E1153" s="2281"/>
      <c r="I1153" s="2281"/>
      <c r="K1153" s="2350"/>
      <c r="L1153" s="2350"/>
      <c r="M1153" s="2281"/>
      <c r="P1153" s="2281"/>
    </row>
    <row r="1154" spans="1:16">
      <c r="A1154" s="2281"/>
      <c r="E1154" s="2281"/>
      <c r="I1154" s="2281"/>
      <c r="K1154" s="2350"/>
      <c r="L1154" s="2350"/>
      <c r="M1154" s="2281"/>
      <c r="P1154" s="2281"/>
    </row>
    <row r="1155" spans="1:16">
      <c r="A1155" s="2281"/>
      <c r="E1155" s="2281"/>
      <c r="I1155" s="2281"/>
      <c r="K1155" s="2350"/>
      <c r="L1155" s="2350"/>
      <c r="M1155" s="2281"/>
      <c r="P1155" s="2281"/>
    </row>
    <row r="1156" spans="1:16">
      <c r="A1156" s="2281"/>
      <c r="E1156" s="2281"/>
      <c r="I1156" s="2281"/>
      <c r="K1156" s="2350"/>
      <c r="L1156" s="2350"/>
      <c r="M1156" s="2281"/>
      <c r="P1156" s="2281"/>
    </row>
    <row r="1157" spans="1:16">
      <c r="A1157" s="2281"/>
      <c r="E1157" s="2281"/>
      <c r="I1157" s="2281"/>
      <c r="K1157" s="2350"/>
      <c r="L1157" s="2350"/>
      <c r="M1157" s="2281"/>
      <c r="P1157" s="2281"/>
    </row>
    <row r="1158" spans="1:16">
      <c r="A1158" s="2281"/>
      <c r="E1158" s="2281"/>
      <c r="I1158" s="2281"/>
      <c r="K1158" s="2350"/>
      <c r="L1158" s="2350"/>
      <c r="M1158" s="2281"/>
      <c r="P1158" s="2281"/>
    </row>
    <row r="1159" spans="1:16">
      <c r="A1159" s="2281"/>
      <c r="E1159" s="2281"/>
      <c r="I1159" s="2281"/>
      <c r="K1159" s="2350"/>
      <c r="L1159" s="2350"/>
      <c r="M1159" s="2281"/>
      <c r="P1159" s="2281"/>
    </row>
    <row r="1160" spans="1:16">
      <c r="A1160" s="2281"/>
      <c r="E1160" s="2281"/>
      <c r="I1160" s="2281"/>
      <c r="K1160" s="2350"/>
      <c r="L1160" s="2350"/>
      <c r="M1160" s="2281"/>
      <c r="P1160" s="2281"/>
    </row>
    <row r="1161" spans="1:16">
      <c r="A1161" s="2281"/>
      <c r="E1161" s="2281"/>
      <c r="I1161" s="2281"/>
      <c r="K1161" s="2350"/>
      <c r="L1161" s="2350"/>
      <c r="M1161" s="2281"/>
      <c r="P1161" s="2281"/>
    </row>
    <row r="1162" spans="1:16">
      <c r="A1162" s="2281"/>
      <c r="E1162" s="2281"/>
      <c r="I1162" s="2281"/>
      <c r="K1162" s="2350"/>
      <c r="L1162" s="2350"/>
      <c r="M1162" s="2281"/>
      <c r="P1162" s="2281"/>
    </row>
    <row r="1163" spans="1:16">
      <c r="A1163" s="2281"/>
      <c r="E1163" s="2281"/>
      <c r="I1163" s="2281"/>
      <c r="K1163" s="2350"/>
      <c r="L1163" s="2350"/>
      <c r="M1163" s="2281"/>
      <c r="P1163" s="2281"/>
    </row>
    <row r="1164" spans="1:16">
      <c r="A1164" s="2281"/>
      <c r="E1164" s="2281"/>
      <c r="I1164" s="2281"/>
      <c r="K1164" s="2350"/>
      <c r="L1164" s="2350"/>
      <c r="M1164" s="2281"/>
      <c r="P1164" s="2281"/>
    </row>
    <row r="1165" spans="1:16">
      <c r="A1165" s="2281"/>
      <c r="E1165" s="2281"/>
      <c r="I1165" s="2281"/>
      <c r="K1165" s="2350"/>
      <c r="L1165" s="2350"/>
      <c r="M1165" s="2281"/>
      <c r="P1165" s="2281"/>
    </row>
    <row r="1166" spans="1:16">
      <c r="A1166" s="2281"/>
      <c r="E1166" s="2281"/>
      <c r="I1166" s="2281"/>
      <c r="K1166" s="2350"/>
      <c r="L1166" s="2350"/>
      <c r="M1166" s="2281"/>
      <c r="P1166" s="2281"/>
    </row>
    <row r="1167" spans="1:16">
      <c r="A1167" s="2281"/>
      <c r="E1167" s="2281"/>
      <c r="I1167" s="2281"/>
      <c r="K1167" s="2350"/>
      <c r="L1167" s="2350"/>
      <c r="M1167" s="2281"/>
      <c r="P1167" s="2281"/>
    </row>
    <row r="1168" spans="1:16">
      <c r="A1168" s="2281"/>
      <c r="E1168" s="2281"/>
      <c r="I1168" s="2281"/>
      <c r="K1168" s="2350"/>
      <c r="L1168" s="2350"/>
      <c r="M1168" s="2281"/>
      <c r="P1168" s="2281"/>
    </row>
    <row r="1169" spans="1:16">
      <c r="A1169" s="2281"/>
      <c r="E1169" s="2281"/>
      <c r="I1169" s="2281"/>
      <c r="K1169" s="2350"/>
      <c r="L1169" s="2350"/>
      <c r="M1169" s="2281"/>
      <c r="P1169" s="2281"/>
    </row>
    <row r="1170" spans="1:16">
      <c r="A1170" s="2281"/>
      <c r="E1170" s="2281"/>
      <c r="I1170" s="2281"/>
      <c r="K1170" s="2350"/>
      <c r="L1170" s="2350"/>
      <c r="M1170" s="2281"/>
      <c r="P1170" s="2281"/>
    </row>
    <row r="1171" spans="1:16">
      <c r="A1171" s="2281"/>
      <c r="E1171" s="2281"/>
      <c r="I1171" s="2281"/>
      <c r="K1171" s="2350"/>
      <c r="L1171" s="2350"/>
      <c r="M1171" s="2281"/>
      <c r="P1171" s="2281"/>
    </row>
    <row r="1172" spans="1:16">
      <c r="A1172" s="2281"/>
      <c r="E1172" s="2281"/>
      <c r="I1172" s="2281"/>
      <c r="K1172" s="2350"/>
      <c r="L1172" s="2350"/>
      <c r="M1172" s="2281"/>
      <c r="P1172" s="2281"/>
    </row>
    <row r="1173" spans="1:16">
      <c r="A1173" s="2281"/>
      <c r="E1173" s="2281"/>
      <c r="I1173" s="2281"/>
      <c r="K1173" s="2350"/>
      <c r="L1173" s="2350"/>
      <c r="M1173" s="2281"/>
      <c r="P1173" s="2281"/>
    </row>
    <row r="1174" spans="1:16">
      <c r="A1174" s="2281"/>
      <c r="E1174" s="2281"/>
      <c r="I1174" s="2281"/>
      <c r="K1174" s="2350"/>
      <c r="L1174" s="2350"/>
      <c r="M1174" s="2281"/>
      <c r="P1174" s="2281"/>
    </row>
    <row r="1175" spans="1:16">
      <c r="A1175" s="2281"/>
      <c r="E1175" s="2281"/>
      <c r="I1175" s="2281"/>
      <c r="K1175" s="2350"/>
      <c r="L1175" s="2350"/>
      <c r="M1175" s="2281"/>
      <c r="P1175" s="2281"/>
    </row>
    <row r="1176" spans="1:16">
      <c r="A1176" s="2281"/>
      <c r="E1176" s="2281"/>
      <c r="I1176" s="2281"/>
      <c r="K1176" s="2350"/>
      <c r="L1176" s="2350"/>
      <c r="M1176" s="2281"/>
      <c r="P1176" s="2281"/>
    </row>
    <row r="1177" spans="1:16">
      <c r="A1177" s="2281"/>
      <c r="E1177" s="2281"/>
      <c r="I1177" s="2281"/>
      <c r="K1177" s="2350"/>
      <c r="L1177" s="2350"/>
      <c r="M1177" s="2281"/>
      <c r="P1177" s="2281"/>
    </row>
    <row r="1178" spans="1:16">
      <c r="A1178" s="2281"/>
      <c r="E1178" s="2281"/>
      <c r="I1178" s="2281"/>
      <c r="K1178" s="2350"/>
      <c r="L1178" s="2350"/>
      <c r="M1178" s="2281"/>
      <c r="P1178" s="2281"/>
    </row>
    <row r="1179" spans="1:16">
      <c r="A1179" s="2281"/>
      <c r="E1179" s="2281"/>
      <c r="I1179" s="2281"/>
      <c r="K1179" s="2350"/>
      <c r="L1179" s="2350"/>
      <c r="M1179" s="2281"/>
      <c r="P1179" s="2281"/>
    </row>
    <row r="1180" spans="1:16">
      <c r="A1180" s="2281"/>
      <c r="E1180" s="2281"/>
      <c r="I1180" s="2281"/>
      <c r="K1180" s="2350"/>
      <c r="L1180" s="2350"/>
      <c r="M1180" s="2281"/>
      <c r="P1180" s="2281"/>
    </row>
    <row r="1181" spans="1:16">
      <c r="A1181" s="2281"/>
      <c r="E1181" s="2281"/>
      <c r="I1181" s="2281"/>
      <c r="K1181" s="2350"/>
      <c r="L1181" s="2350"/>
      <c r="M1181" s="2281"/>
      <c r="P1181" s="2281"/>
    </row>
    <row r="1182" spans="1:16">
      <c r="A1182" s="2281"/>
      <c r="E1182" s="2281"/>
      <c r="I1182" s="2281"/>
      <c r="K1182" s="2350"/>
      <c r="L1182" s="2350"/>
      <c r="M1182" s="2281"/>
      <c r="P1182" s="2281"/>
    </row>
    <row r="1183" spans="1:16">
      <c r="A1183" s="2281"/>
      <c r="E1183" s="2281"/>
      <c r="I1183" s="2281"/>
      <c r="K1183" s="2350"/>
      <c r="L1183" s="2350"/>
      <c r="M1183" s="2281"/>
      <c r="P1183" s="2281"/>
    </row>
    <row r="1184" spans="1:16">
      <c r="A1184" s="2281"/>
      <c r="E1184" s="2281"/>
      <c r="I1184" s="2281"/>
      <c r="K1184" s="2350"/>
      <c r="L1184" s="2350"/>
      <c r="M1184" s="2281"/>
      <c r="P1184" s="2281"/>
    </row>
    <row r="1185" spans="1:16">
      <c r="A1185" s="2281"/>
      <c r="E1185" s="2281"/>
      <c r="I1185" s="2281"/>
      <c r="K1185" s="2350"/>
      <c r="L1185" s="2350"/>
      <c r="M1185" s="2281"/>
      <c r="P1185" s="2281"/>
    </row>
    <row r="1186" spans="1:16">
      <c r="A1186" s="2281"/>
      <c r="E1186" s="2281"/>
      <c r="I1186" s="2281"/>
      <c r="K1186" s="2350"/>
      <c r="L1186" s="2350"/>
      <c r="M1186" s="2281"/>
      <c r="P1186" s="2281"/>
    </row>
    <row r="1187" spans="1:16">
      <c r="A1187" s="2281"/>
      <c r="E1187" s="2281"/>
      <c r="I1187" s="2281"/>
      <c r="K1187" s="2350"/>
      <c r="L1187" s="2350"/>
      <c r="M1187" s="2281"/>
      <c r="P1187" s="2281"/>
    </row>
    <row r="1188" spans="1:16">
      <c r="A1188" s="2281"/>
      <c r="E1188" s="2281"/>
      <c r="I1188" s="2281"/>
      <c r="K1188" s="2350"/>
      <c r="L1188" s="2350"/>
      <c r="M1188" s="2281"/>
      <c r="P1188" s="2281"/>
    </row>
    <row r="1189" spans="1:16">
      <c r="A1189" s="2281"/>
      <c r="E1189" s="2281"/>
      <c r="I1189" s="2281"/>
      <c r="K1189" s="2350"/>
      <c r="L1189" s="2350"/>
      <c r="M1189" s="2281"/>
      <c r="P1189" s="2281"/>
    </row>
    <row r="1190" spans="1:16">
      <c r="A1190" s="2281"/>
      <c r="E1190" s="2281"/>
      <c r="I1190" s="2281"/>
      <c r="K1190" s="2350"/>
      <c r="L1190" s="2350"/>
      <c r="M1190" s="2281"/>
      <c r="P1190" s="2281"/>
    </row>
    <row r="1191" spans="1:16">
      <c r="A1191" s="2281"/>
      <c r="E1191" s="2281"/>
      <c r="I1191" s="2281"/>
      <c r="K1191" s="2350"/>
      <c r="L1191" s="2350"/>
      <c r="M1191" s="2281"/>
      <c r="P1191" s="2281"/>
    </row>
    <row r="1192" spans="1:16">
      <c r="A1192" s="2281"/>
      <c r="E1192" s="2281"/>
      <c r="I1192" s="2281"/>
      <c r="K1192" s="2350"/>
      <c r="L1192" s="2350"/>
      <c r="M1192" s="2281"/>
      <c r="P1192" s="2281"/>
    </row>
    <row r="1193" spans="1:16">
      <c r="A1193" s="2281"/>
      <c r="E1193" s="2281"/>
      <c r="I1193" s="2281"/>
      <c r="K1193" s="2350"/>
      <c r="L1193" s="2350"/>
      <c r="M1193" s="2281"/>
      <c r="P1193" s="2281"/>
    </row>
    <row r="1194" spans="1:16">
      <c r="A1194" s="2281"/>
      <c r="E1194" s="2281"/>
      <c r="I1194" s="2281"/>
      <c r="K1194" s="2350"/>
      <c r="L1194" s="2350"/>
      <c r="M1194" s="2281"/>
      <c r="P1194" s="2281"/>
    </row>
    <row r="1195" spans="1:16">
      <c r="A1195" s="2281"/>
      <c r="E1195" s="2281"/>
      <c r="I1195" s="2281"/>
      <c r="K1195" s="2350"/>
      <c r="L1195" s="2350"/>
      <c r="M1195" s="2281"/>
      <c r="P1195" s="2281"/>
    </row>
    <row r="1196" spans="1:16">
      <c r="A1196" s="2281"/>
      <c r="E1196" s="2281"/>
      <c r="I1196" s="2281"/>
      <c r="K1196" s="2350"/>
      <c r="L1196" s="2350"/>
      <c r="M1196" s="2281"/>
      <c r="P1196" s="2281"/>
    </row>
    <row r="1197" spans="1:16">
      <c r="A1197" s="2281"/>
      <c r="E1197" s="2281"/>
      <c r="I1197" s="2281"/>
      <c r="K1197" s="2350"/>
      <c r="L1197" s="2350"/>
      <c r="M1197" s="2281"/>
      <c r="P1197" s="2281"/>
    </row>
    <row r="1198" spans="1:16">
      <c r="A1198" s="2281"/>
      <c r="E1198" s="2281"/>
      <c r="I1198" s="2281"/>
      <c r="K1198" s="2350"/>
      <c r="L1198" s="2350"/>
      <c r="M1198" s="2281"/>
      <c r="P1198" s="2281"/>
    </row>
    <row r="1199" spans="1:16">
      <c r="A1199" s="2281"/>
      <c r="E1199" s="2281"/>
      <c r="I1199" s="2281"/>
      <c r="K1199" s="2350"/>
      <c r="L1199" s="2350"/>
      <c r="M1199" s="2281"/>
      <c r="P1199" s="2281"/>
    </row>
    <row r="1200" spans="1:16">
      <c r="A1200" s="2281"/>
      <c r="E1200" s="2281"/>
      <c r="I1200" s="2281"/>
      <c r="K1200" s="2350"/>
      <c r="L1200" s="2350"/>
      <c r="M1200" s="2281"/>
      <c r="P1200" s="2281"/>
    </row>
    <row r="1201" spans="1:16">
      <c r="A1201" s="2281"/>
      <c r="E1201" s="2281"/>
      <c r="I1201" s="2281"/>
      <c r="K1201" s="2350"/>
      <c r="L1201" s="2350"/>
      <c r="M1201" s="2281"/>
      <c r="P1201" s="2281"/>
    </row>
    <row r="1202" spans="1:16">
      <c r="A1202" s="2281"/>
      <c r="E1202" s="2281"/>
      <c r="I1202" s="2281"/>
      <c r="K1202" s="2350"/>
      <c r="L1202" s="2350"/>
      <c r="M1202" s="2281"/>
      <c r="P1202" s="2281"/>
    </row>
    <row r="1203" spans="1:16">
      <c r="A1203" s="2281"/>
      <c r="E1203" s="2281"/>
      <c r="I1203" s="2281"/>
      <c r="K1203" s="2350"/>
      <c r="L1203" s="2350"/>
      <c r="M1203" s="2281"/>
      <c r="P1203" s="2281"/>
    </row>
    <row r="1204" spans="1:16">
      <c r="A1204" s="2281"/>
      <c r="E1204" s="2281"/>
      <c r="I1204" s="2281"/>
      <c r="K1204" s="2350"/>
      <c r="L1204" s="2350"/>
      <c r="M1204" s="2281"/>
      <c r="P1204" s="2281"/>
    </row>
    <row r="1205" spans="1:16">
      <c r="A1205" s="2281"/>
      <c r="E1205" s="2281"/>
      <c r="I1205" s="2281"/>
      <c r="K1205" s="2350"/>
      <c r="L1205" s="2350"/>
      <c r="M1205" s="2281"/>
      <c r="P1205" s="2281"/>
    </row>
    <row r="1206" spans="1:16">
      <c r="A1206" s="2281"/>
      <c r="E1206" s="2281"/>
      <c r="I1206" s="2281"/>
      <c r="K1206" s="2350"/>
      <c r="L1206" s="2350"/>
      <c r="M1206" s="2281"/>
      <c r="P1206" s="2281"/>
    </row>
    <row r="1207" spans="1:16">
      <c r="A1207" s="2281"/>
      <c r="E1207" s="2281"/>
      <c r="I1207" s="2281"/>
      <c r="K1207" s="2350"/>
      <c r="L1207" s="2350"/>
      <c r="M1207" s="2281"/>
      <c r="P1207" s="2281"/>
    </row>
    <row r="1208" spans="1:16">
      <c r="A1208" s="2281"/>
      <c r="E1208" s="2281"/>
      <c r="I1208" s="2281"/>
      <c r="K1208" s="2350"/>
      <c r="L1208" s="2350"/>
      <c r="M1208" s="2281"/>
      <c r="P1208" s="2281"/>
    </row>
    <row r="1209" spans="1:16">
      <c r="A1209" s="2281"/>
      <c r="E1209" s="2281"/>
      <c r="I1209" s="2281"/>
      <c r="K1209" s="2350"/>
      <c r="L1209" s="2350"/>
      <c r="M1209" s="2281"/>
      <c r="P1209" s="2281"/>
    </row>
    <row r="1210" spans="1:16">
      <c r="A1210" s="2281"/>
      <c r="E1210" s="2281"/>
      <c r="I1210" s="2281"/>
      <c r="K1210" s="2350"/>
      <c r="L1210" s="2350"/>
      <c r="M1210" s="2281"/>
      <c r="P1210" s="2281"/>
    </row>
    <row r="1211" spans="1:16">
      <c r="A1211" s="2281"/>
      <c r="E1211" s="2281"/>
      <c r="I1211" s="2281"/>
      <c r="K1211" s="2350"/>
      <c r="L1211" s="2350"/>
      <c r="M1211" s="2281"/>
      <c r="P1211" s="2281"/>
    </row>
    <row r="1212" spans="1:16">
      <c r="A1212" s="2281"/>
      <c r="E1212" s="2281"/>
      <c r="I1212" s="2281"/>
      <c r="K1212" s="2350"/>
      <c r="L1212" s="2350"/>
      <c r="M1212" s="2281"/>
      <c r="P1212" s="2281"/>
    </row>
    <row r="1213" spans="1:16">
      <c r="A1213" s="2281"/>
      <c r="E1213" s="2281"/>
      <c r="I1213" s="2281"/>
      <c r="K1213" s="2350"/>
      <c r="L1213" s="2350"/>
      <c r="M1213" s="2281"/>
      <c r="P1213" s="2281"/>
    </row>
    <row r="1214" spans="1:16">
      <c r="A1214" s="2281"/>
      <c r="E1214" s="2281"/>
      <c r="I1214" s="2281"/>
      <c r="K1214" s="2350"/>
      <c r="L1214" s="2350"/>
      <c r="M1214" s="2281"/>
      <c r="P1214" s="2281"/>
    </row>
    <row r="1215" spans="1:16">
      <c r="A1215" s="2281"/>
      <c r="E1215" s="2281"/>
      <c r="I1215" s="2281"/>
      <c r="K1215" s="2350"/>
      <c r="L1215" s="2350"/>
      <c r="M1215" s="2281"/>
      <c r="P1215" s="2281"/>
    </row>
    <row r="1216" spans="1:16">
      <c r="A1216" s="2281"/>
      <c r="E1216" s="2281"/>
      <c r="I1216" s="2281"/>
      <c r="K1216" s="2350"/>
      <c r="L1216" s="2350"/>
      <c r="M1216" s="2281"/>
      <c r="P1216" s="2281"/>
    </row>
    <row r="1217" spans="1:16">
      <c r="A1217" s="2281"/>
      <c r="E1217" s="2281"/>
      <c r="I1217" s="2281"/>
      <c r="K1217" s="2350"/>
      <c r="L1217" s="2350"/>
      <c r="M1217" s="2281"/>
      <c r="P1217" s="2281"/>
    </row>
    <row r="1218" spans="1:16">
      <c r="A1218" s="2281"/>
      <c r="E1218" s="2281"/>
      <c r="I1218" s="2281"/>
      <c r="K1218" s="2350"/>
      <c r="L1218" s="2350"/>
      <c r="M1218" s="2281"/>
      <c r="P1218" s="2281"/>
    </row>
    <row r="1219" spans="1:16">
      <c r="A1219" s="2281"/>
      <c r="E1219" s="2281"/>
      <c r="I1219" s="2281"/>
      <c r="K1219" s="2350"/>
      <c r="L1219" s="2350"/>
      <c r="M1219" s="2281"/>
      <c r="P1219" s="2281"/>
    </row>
    <row r="1220" spans="1:16">
      <c r="A1220" s="2281"/>
      <c r="E1220" s="2281"/>
      <c r="I1220" s="2281"/>
      <c r="K1220" s="2350"/>
      <c r="L1220" s="2350"/>
      <c r="M1220" s="2281"/>
      <c r="P1220" s="2281"/>
    </row>
    <row r="1221" spans="1:16">
      <c r="A1221" s="2281"/>
      <c r="E1221" s="2281"/>
      <c r="I1221" s="2281"/>
      <c r="K1221" s="2350"/>
      <c r="L1221" s="2350"/>
      <c r="M1221" s="2281"/>
      <c r="P1221" s="2281"/>
    </row>
    <row r="1222" spans="1:16">
      <c r="A1222" s="2281"/>
      <c r="E1222" s="2281"/>
      <c r="I1222" s="2281"/>
      <c r="K1222" s="2350"/>
      <c r="L1222" s="2350"/>
      <c r="M1222" s="2281"/>
      <c r="P1222" s="2281"/>
    </row>
    <row r="1223" spans="1:16">
      <c r="A1223" s="2281"/>
      <c r="E1223" s="2281"/>
      <c r="I1223" s="2281"/>
      <c r="K1223" s="2350"/>
      <c r="L1223" s="2350"/>
      <c r="M1223" s="2281"/>
      <c r="P1223" s="2281"/>
    </row>
    <row r="1224" spans="1:16">
      <c r="A1224" s="2281"/>
      <c r="E1224" s="2281"/>
      <c r="I1224" s="2281"/>
      <c r="K1224" s="2350"/>
      <c r="L1224" s="2350"/>
      <c r="M1224" s="2281"/>
      <c r="P1224" s="2281"/>
    </row>
    <row r="1225" spans="1:16">
      <c r="A1225" s="2281"/>
      <c r="E1225" s="2281"/>
      <c r="I1225" s="2281"/>
      <c r="K1225" s="2350"/>
      <c r="L1225" s="2350"/>
      <c r="M1225" s="2281"/>
      <c r="P1225" s="2281"/>
    </row>
    <row r="1226" spans="1:16">
      <c r="A1226" s="2281"/>
      <c r="E1226" s="2281"/>
      <c r="I1226" s="2281"/>
      <c r="K1226" s="2350"/>
      <c r="L1226" s="2350"/>
      <c r="M1226" s="2281"/>
      <c r="P1226" s="2281"/>
    </row>
    <row r="1227" spans="1:16">
      <c r="A1227" s="2281"/>
      <c r="E1227" s="2281"/>
      <c r="I1227" s="2281"/>
      <c r="K1227" s="2350"/>
      <c r="L1227" s="2350"/>
      <c r="M1227" s="2281"/>
      <c r="P1227" s="2281"/>
    </row>
    <row r="1228" spans="1:16">
      <c r="A1228" s="2281"/>
      <c r="E1228" s="2281"/>
      <c r="I1228" s="2281"/>
      <c r="K1228" s="2350"/>
      <c r="L1228" s="2350"/>
      <c r="M1228" s="2281"/>
      <c r="P1228" s="2281"/>
    </row>
    <row r="1229" spans="1:16">
      <c r="A1229" s="2281"/>
      <c r="E1229" s="2281"/>
      <c r="I1229" s="2281"/>
      <c r="K1229" s="2350"/>
      <c r="L1229" s="2350"/>
      <c r="M1229" s="2281"/>
      <c r="P1229" s="2281"/>
    </row>
    <row r="1230" spans="1:16">
      <c r="A1230" s="2281"/>
      <c r="E1230" s="2281"/>
      <c r="I1230" s="2281"/>
      <c r="K1230" s="2350"/>
      <c r="L1230" s="2350"/>
      <c r="M1230" s="2281"/>
      <c r="P1230" s="2281"/>
    </row>
    <row r="1231" spans="1:16">
      <c r="A1231" s="2281"/>
      <c r="E1231" s="2281"/>
      <c r="I1231" s="2281"/>
      <c r="K1231" s="2350"/>
      <c r="L1231" s="2350"/>
      <c r="M1231" s="2281"/>
      <c r="P1231" s="2281"/>
    </row>
    <row r="1232" spans="1:16">
      <c r="A1232" s="2281"/>
      <c r="E1232" s="2281"/>
      <c r="I1232" s="2281"/>
      <c r="K1232" s="2350"/>
      <c r="L1232" s="2350"/>
      <c r="M1232" s="2281"/>
      <c r="P1232" s="2281"/>
    </row>
    <row r="1233" spans="1:16">
      <c r="A1233" s="2281"/>
      <c r="E1233" s="2281"/>
      <c r="I1233" s="2281"/>
      <c r="K1233" s="2350"/>
      <c r="L1233" s="2350"/>
      <c r="M1233" s="2281"/>
      <c r="P1233" s="2281"/>
    </row>
    <row r="1234" spans="1:16">
      <c r="A1234" s="2281"/>
      <c r="E1234" s="2281"/>
      <c r="I1234" s="2281"/>
      <c r="K1234" s="2350"/>
      <c r="L1234" s="2350"/>
      <c r="M1234" s="2281"/>
      <c r="P1234" s="2281"/>
    </row>
    <row r="1235" spans="1:16">
      <c r="A1235" s="2281"/>
      <c r="E1235" s="2281"/>
      <c r="I1235" s="2281"/>
      <c r="K1235" s="2350"/>
      <c r="L1235" s="2350"/>
      <c r="M1235" s="2281"/>
      <c r="P1235" s="2281"/>
    </row>
    <row r="1236" spans="1:16">
      <c r="A1236" s="2281"/>
      <c r="E1236" s="2281"/>
      <c r="I1236" s="2281"/>
      <c r="K1236" s="2350"/>
      <c r="L1236" s="2350"/>
      <c r="M1236" s="2281"/>
      <c r="P1236" s="2281"/>
    </row>
    <row r="1237" spans="1:16">
      <c r="A1237" s="2281"/>
      <c r="E1237" s="2281"/>
      <c r="I1237" s="2281"/>
      <c r="K1237" s="2350"/>
      <c r="L1237" s="2350"/>
      <c r="M1237" s="2281"/>
      <c r="P1237" s="2281"/>
    </row>
    <row r="1238" spans="1:16">
      <c r="A1238" s="2281"/>
      <c r="E1238" s="2281"/>
      <c r="I1238" s="2281"/>
      <c r="K1238" s="2350"/>
      <c r="L1238" s="2350"/>
      <c r="M1238" s="2281"/>
      <c r="P1238" s="2281"/>
    </row>
    <row r="1239" spans="1:16">
      <c r="A1239" s="2281"/>
      <c r="E1239" s="2281"/>
      <c r="I1239" s="2281"/>
      <c r="K1239" s="2350"/>
      <c r="L1239" s="2350"/>
      <c r="M1239" s="2281"/>
      <c r="P1239" s="2281"/>
    </row>
    <row r="1240" spans="1:16">
      <c r="A1240" s="2281"/>
      <c r="E1240" s="2281"/>
      <c r="I1240" s="2281"/>
      <c r="K1240" s="2350"/>
      <c r="L1240" s="2350"/>
      <c r="M1240" s="2281"/>
      <c r="P1240" s="2281"/>
    </row>
    <row r="1241" spans="1:16">
      <c r="A1241" s="2281"/>
      <c r="E1241" s="2281"/>
      <c r="I1241" s="2281"/>
      <c r="K1241" s="2350"/>
      <c r="L1241" s="2350"/>
      <c r="M1241" s="2281"/>
      <c r="P1241" s="2281"/>
    </row>
    <row r="1242" spans="1:16">
      <c r="A1242" s="2281"/>
      <c r="E1242" s="2281"/>
      <c r="I1242" s="2281"/>
      <c r="K1242" s="2350"/>
      <c r="L1242" s="2350"/>
      <c r="M1242" s="2281"/>
      <c r="P1242" s="2281"/>
    </row>
    <row r="1243" spans="1:16">
      <c r="A1243" s="2281"/>
      <c r="E1243" s="2281"/>
      <c r="I1243" s="2281"/>
      <c r="K1243" s="2350"/>
      <c r="L1243" s="2350"/>
      <c r="M1243" s="2281"/>
      <c r="P1243" s="2281"/>
    </row>
    <row r="1244" spans="1:16">
      <c r="A1244" s="2281"/>
      <c r="E1244" s="2281"/>
      <c r="I1244" s="2281"/>
      <c r="K1244" s="2350"/>
      <c r="L1244" s="2350"/>
      <c r="M1244" s="2281"/>
      <c r="P1244" s="2281"/>
    </row>
    <row r="1245" spans="1:16">
      <c r="A1245" s="2281"/>
      <c r="E1245" s="2281"/>
      <c r="I1245" s="2281"/>
      <c r="K1245" s="2350"/>
      <c r="L1245" s="2350"/>
      <c r="M1245" s="2281"/>
      <c r="P1245" s="2281"/>
    </row>
    <row r="1246" spans="1:16">
      <c r="A1246" s="2281"/>
      <c r="E1246" s="2281"/>
      <c r="I1246" s="2281"/>
      <c r="K1246" s="2350"/>
      <c r="L1246" s="2350"/>
      <c r="M1246" s="2281"/>
      <c r="P1246" s="2281"/>
    </row>
    <row r="1247" spans="1:16">
      <c r="A1247" s="2281"/>
      <c r="E1247" s="2281"/>
      <c r="I1247" s="2281"/>
      <c r="K1247" s="2350"/>
      <c r="L1247" s="2350"/>
      <c r="M1247" s="2281"/>
      <c r="P1247" s="2281"/>
    </row>
    <row r="1248" spans="1:16">
      <c r="A1248" s="2281"/>
      <c r="E1248" s="2281"/>
      <c r="I1248" s="2281"/>
      <c r="K1248" s="2350"/>
      <c r="L1248" s="2350"/>
      <c r="M1248" s="2281"/>
      <c r="P1248" s="2281"/>
    </row>
    <row r="1249" spans="1:16">
      <c r="A1249" s="2281"/>
      <c r="E1249" s="2281"/>
      <c r="I1249" s="2281"/>
      <c r="K1249" s="2350"/>
      <c r="L1249" s="2350"/>
      <c r="M1249" s="2281"/>
      <c r="P1249" s="2281"/>
    </row>
    <row r="1250" spans="1:16">
      <c r="A1250" s="2281"/>
      <c r="E1250" s="2281"/>
      <c r="I1250" s="2281"/>
      <c r="K1250" s="2350"/>
      <c r="L1250" s="2350"/>
      <c r="M1250" s="2281"/>
      <c r="P1250" s="2281"/>
    </row>
    <row r="1251" spans="1:16">
      <c r="A1251" s="2281"/>
      <c r="E1251" s="2281"/>
      <c r="I1251" s="2281"/>
      <c r="K1251" s="2350"/>
      <c r="L1251" s="2350"/>
      <c r="M1251" s="2281"/>
      <c r="P1251" s="2281"/>
    </row>
    <row r="1252" spans="1:16">
      <c r="A1252" s="2281"/>
      <c r="E1252" s="2281"/>
      <c r="I1252" s="2281"/>
      <c r="K1252" s="2350"/>
      <c r="L1252" s="2350"/>
      <c r="M1252" s="2281"/>
      <c r="P1252" s="2281"/>
    </row>
    <row r="1253" spans="1:16">
      <c r="A1253" s="2281"/>
      <c r="E1253" s="2281"/>
      <c r="I1253" s="2281"/>
      <c r="K1253" s="2350"/>
      <c r="L1253" s="2350"/>
      <c r="M1253" s="2281"/>
      <c r="P1253" s="2281"/>
    </row>
    <row r="1254" spans="1:16">
      <c r="A1254" s="2281"/>
      <c r="E1254" s="2281"/>
      <c r="I1254" s="2281"/>
      <c r="K1254" s="2350"/>
      <c r="L1254" s="2350"/>
      <c r="M1254" s="2281"/>
      <c r="P1254" s="2281"/>
    </row>
    <row r="1255" spans="1:16">
      <c r="A1255" s="2281"/>
      <c r="E1255" s="2281"/>
      <c r="I1255" s="2281"/>
      <c r="K1255" s="2350"/>
      <c r="L1255" s="2350"/>
      <c r="M1255" s="2281"/>
      <c r="P1255" s="2281"/>
    </row>
    <row r="1256" spans="1:16">
      <c r="A1256" s="2281"/>
      <c r="E1256" s="2281"/>
      <c r="I1256" s="2281"/>
      <c r="K1256" s="2350"/>
      <c r="L1256" s="2350"/>
      <c r="M1256" s="2281"/>
      <c r="P1256" s="2281"/>
    </row>
    <row r="1257" spans="1:16">
      <c r="A1257" s="2281"/>
      <c r="E1257" s="2281"/>
      <c r="I1257" s="2281"/>
      <c r="K1257" s="2350"/>
      <c r="L1257" s="2350"/>
      <c r="M1257" s="2281"/>
      <c r="P1257" s="2281"/>
    </row>
    <row r="1258" spans="1:16">
      <c r="A1258" s="2281"/>
      <c r="E1258" s="2281"/>
      <c r="I1258" s="2281"/>
      <c r="K1258" s="2350"/>
      <c r="L1258" s="2350"/>
      <c r="M1258" s="2281"/>
      <c r="P1258" s="2281"/>
    </row>
    <row r="1259" spans="1:16">
      <c r="A1259" s="2281"/>
      <c r="E1259" s="2281"/>
      <c r="I1259" s="2281"/>
      <c r="K1259" s="2350"/>
      <c r="L1259" s="2350"/>
      <c r="M1259" s="2281"/>
      <c r="P1259" s="2281"/>
    </row>
    <row r="1260" spans="1:16">
      <c r="A1260" s="2281"/>
      <c r="E1260" s="2281"/>
      <c r="I1260" s="2281"/>
      <c r="K1260" s="2350"/>
      <c r="L1260" s="2350"/>
      <c r="M1260" s="2281"/>
      <c r="P1260" s="2281"/>
    </row>
    <row r="1261" spans="1:16">
      <c r="A1261" s="2281"/>
      <c r="E1261" s="2281"/>
      <c r="I1261" s="2281"/>
      <c r="K1261" s="2350"/>
      <c r="L1261" s="2350"/>
      <c r="M1261" s="2281"/>
      <c r="P1261" s="2281"/>
    </row>
    <row r="1262" spans="1:16">
      <c r="A1262" s="2281"/>
      <c r="E1262" s="2281"/>
      <c r="I1262" s="2281"/>
      <c r="K1262" s="2350"/>
      <c r="L1262" s="2350"/>
      <c r="M1262" s="2281"/>
      <c r="P1262" s="2281"/>
    </row>
    <row r="1263" spans="1:16">
      <c r="A1263" s="2281"/>
      <c r="E1263" s="2281"/>
      <c r="I1263" s="2281"/>
      <c r="K1263" s="2350"/>
      <c r="L1263" s="2350"/>
      <c r="M1263" s="2281"/>
      <c r="P1263" s="2281"/>
    </row>
    <row r="1264" spans="1:16">
      <c r="A1264" s="2281"/>
      <c r="E1264" s="2281"/>
      <c r="I1264" s="2281"/>
      <c r="K1264" s="2350"/>
      <c r="L1264" s="2350"/>
      <c r="M1264" s="2281"/>
      <c r="P1264" s="2281"/>
    </row>
    <row r="1265" spans="1:16">
      <c r="A1265" s="2281"/>
      <c r="E1265" s="2281"/>
      <c r="I1265" s="2281"/>
      <c r="K1265" s="2350"/>
      <c r="L1265" s="2350"/>
      <c r="M1265" s="2281"/>
      <c r="P1265" s="2281"/>
    </row>
    <row r="1266" spans="1:16">
      <c r="A1266" s="2281"/>
      <c r="E1266" s="2281"/>
      <c r="I1266" s="2281"/>
      <c r="K1266" s="2350"/>
      <c r="L1266" s="2350"/>
      <c r="M1266" s="2281"/>
      <c r="P1266" s="2281"/>
    </row>
    <row r="1267" spans="1:16">
      <c r="A1267" s="2281"/>
      <c r="E1267" s="2281"/>
      <c r="I1267" s="2281"/>
      <c r="K1267" s="2350"/>
      <c r="L1267" s="2350"/>
      <c r="M1267" s="2281"/>
      <c r="P1267" s="2281"/>
    </row>
    <row r="1268" spans="1:16">
      <c r="A1268" s="2281"/>
      <c r="E1268" s="2281"/>
      <c r="I1268" s="2281"/>
      <c r="K1268" s="2350"/>
      <c r="L1268" s="2350"/>
      <c r="M1268" s="2281"/>
      <c r="P1268" s="2281"/>
    </row>
    <row r="1269" spans="1:16">
      <c r="A1269" s="2281"/>
      <c r="E1269" s="2281"/>
      <c r="I1269" s="2281"/>
      <c r="K1269" s="2350"/>
      <c r="L1269" s="2350"/>
      <c r="M1269" s="2281"/>
      <c r="P1269" s="2281"/>
    </row>
    <row r="1270" spans="1:16">
      <c r="A1270" s="2281"/>
      <c r="E1270" s="2281"/>
      <c r="I1270" s="2281"/>
      <c r="K1270" s="2350"/>
      <c r="L1270" s="2350"/>
      <c r="M1270" s="2281"/>
      <c r="P1270" s="2281"/>
    </row>
    <row r="1271" spans="1:16">
      <c r="A1271" s="2281"/>
      <c r="E1271" s="2281"/>
      <c r="I1271" s="2281"/>
      <c r="K1271" s="2350"/>
      <c r="L1271" s="2350"/>
      <c r="M1271" s="2281"/>
      <c r="P1271" s="2281"/>
    </row>
    <row r="1272" spans="1:16">
      <c r="A1272" s="2281"/>
      <c r="E1272" s="2281"/>
      <c r="I1272" s="2281"/>
      <c r="K1272" s="2350"/>
      <c r="L1272" s="2350"/>
      <c r="M1272" s="2281"/>
      <c r="P1272" s="2281"/>
    </row>
    <row r="1273" spans="1:16">
      <c r="A1273" s="2281"/>
      <c r="E1273" s="2281"/>
      <c r="I1273" s="2281"/>
      <c r="K1273" s="2350"/>
      <c r="L1273" s="2350"/>
      <c r="M1273" s="2281"/>
      <c r="P1273" s="2281"/>
    </row>
    <row r="1274" spans="1:16">
      <c r="A1274" s="2281"/>
      <c r="E1274" s="2281"/>
      <c r="I1274" s="2281"/>
      <c r="K1274" s="2350"/>
      <c r="L1274" s="2350"/>
      <c r="M1274" s="2281"/>
      <c r="P1274" s="2281"/>
    </row>
    <row r="1275" spans="1:16">
      <c r="A1275" s="2281"/>
      <c r="E1275" s="2281"/>
      <c r="I1275" s="2281"/>
      <c r="K1275" s="2350"/>
      <c r="L1275" s="2350"/>
      <c r="M1275" s="2281"/>
      <c r="P1275" s="2281"/>
    </row>
    <row r="1276" spans="1:16">
      <c r="A1276" s="2281"/>
      <c r="E1276" s="2281"/>
      <c r="I1276" s="2281"/>
      <c r="K1276" s="2350"/>
      <c r="L1276" s="2350"/>
      <c r="M1276" s="2281"/>
      <c r="P1276" s="2281"/>
    </row>
    <row r="1277" spans="1:16">
      <c r="A1277" s="2281"/>
      <c r="E1277" s="2281"/>
      <c r="I1277" s="2281"/>
      <c r="K1277" s="2350"/>
      <c r="L1277" s="2350"/>
      <c r="M1277" s="2281"/>
      <c r="P1277" s="2281"/>
    </row>
    <row r="1278" spans="1:16">
      <c r="A1278" s="2281"/>
      <c r="E1278" s="2281"/>
      <c r="I1278" s="2281"/>
      <c r="K1278" s="2350"/>
      <c r="L1278" s="2350"/>
      <c r="M1278" s="2281"/>
      <c r="P1278" s="2281"/>
    </row>
    <row r="1279" spans="1:16">
      <c r="A1279" s="2281"/>
      <c r="E1279" s="2281"/>
      <c r="I1279" s="2281"/>
      <c r="K1279" s="2350"/>
      <c r="L1279" s="2350"/>
      <c r="M1279" s="2281"/>
      <c r="P1279" s="2281"/>
    </row>
    <row r="1280" spans="1:16">
      <c r="A1280" s="2281"/>
      <c r="E1280" s="2281"/>
      <c r="I1280" s="2281"/>
      <c r="K1280" s="2350"/>
      <c r="L1280" s="2350"/>
      <c r="M1280" s="2281"/>
      <c r="P1280" s="2281"/>
    </row>
    <row r="1281" spans="1:16">
      <c r="A1281" s="2281"/>
      <c r="E1281" s="2281"/>
      <c r="I1281" s="2281"/>
      <c r="K1281" s="2350"/>
      <c r="L1281" s="2350"/>
      <c r="M1281" s="2281"/>
      <c r="P1281" s="2281"/>
    </row>
    <row r="1282" spans="1:16">
      <c r="A1282" s="2281"/>
      <c r="E1282" s="2281"/>
      <c r="I1282" s="2281"/>
      <c r="K1282" s="2350"/>
      <c r="L1282" s="2350"/>
      <c r="M1282" s="2281"/>
      <c r="P1282" s="2281"/>
    </row>
    <row r="1283" spans="1:16">
      <c r="A1283" s="2281"/>
      <c r="E1283" s="2281"/>
      <c r="I1283" s="2281"/>
      <c r="K1283" s="2350"/>
      <c r="L1283" s="2350"/>
      <c r="M1283" s="2281"/>
      <c r="P1283" s="2281"/>
    </row>
    <row r="1284" spans="1:16">
      <c r="A1284" s="2281"/>
      <c r="E1284" s="2281"/>
      <c r="I1284" s="2281"/>
      <c r="K1284" s="2350"/>
      <c r="L1284" s="2350"/>
      <c r="M1284" s="2281"/>
      <c r="P1284" s="2281"/>
    </row>
    <row r="1285" spans="1:16">
      <c r="A1285" s="2281"/>
      <c r="E1285" s="2281"/>
      <c r="I1285" s="2281"/>
      <c r="K1285" s="2350"/>
      <c r="L1285" s="2350"/>
      <c r="M1285" s="2281"/>
      <c r="P1285" s="2281"/>
    </row>
    <row r="1286" spans="1:16">
      <c r="A1286" s="2281"/>
      <c r="E1286" s="2281"/>
      <c r="I1286" s="2281"/>
      <c r="K1286" s="2350"/>
      <c r="L1286" s="2350"/>
      <c r="M1286" s="2281"/>
      <c r="P1286" s="2281"/>
    </row>
    <row r="1287" spans="1:16">
      <c r="A1287" s="2281"/>
      <c r="E1287" s="2281"/>
      <c r="I1287" s="2281"/>
      <c r="K1287" s="2350"/>
      <c r="L1287" s="2350"/>
      <c r="M1287" s="2281"/>
      <c r="P1287" s="2281"/>
    </row>
    <row r="1288" spans="1:16">
      <c r="A1288" s="2281"/>
      <c r="E1288" s="2281"/>
      <c r="I1288" s="2281"/>
      <c r="K1288" s="2350"/>
      <c r="L1288" s="2350"/>
      <c r="M1288" s="2281"/>
      <c r="P1288" s="2281"/>
    </row>
    <row r="1289" spans="1:16">
      <c r="A1289" s="2281"/>
      <c r="E1289" s="2281"/>
      <c r="I1289" s="2281"/>
      <c r="K1289" s="2350"/>
      <c r="L1289" s="2350"/>
      <c r="M1289" s="2281"/>
      <c r="P1289" s="2281"/>
    </row>
    <row r="1290" spans="1:16">
      <c r="A1290" s="2281"/>
      <c r="E1290" s="2281"/>
      <c r="I1290" s="2281"/>
      <c r="K1290" s="2350"/>
      <c r="L1290" s="2350"/>
      <c r="M1290" s="2281"/>
      <c r="P1290" s="2281"/>
    </row>
    <row r="1291" spans="1:16">
      <c r="A1291" s="2281"/>
      <c r="E1291" s="2281"/>
      <c r="I1291" s="2281"/>
      <c r="K1291" s="2350"/>
      <c r="L1291" s="2350"/>
      <c r="M1291" s="2281"/>
      <c r="P1291" s="2281"/>
    </row>
    <row r="1292" spans="1:16">
      <c r="A1292" s="2281"/>
      <c r="E1292" s="2281"/>
      <c r="I1292" s="2281"/>
      <c r="K1292" s="2350"/>
      <c r="L1292" s="2350"/>
      <c r="M1292" s="2281"/>
      <c r="P1292" s="2281"/>
    </row>
    <row r="1293" spans="1:16">
      <c r="A1293" s="2281"/>
      <c r="E1293" s="2281"/>
      <c r="I1293" s="2281"/>
      <c r="K1293" s="2350"/>
      <c r="L1293" s="2350"/>
      <c r="M1293" s="2281"/>
      <c r="P1293" s="2281"/>
    </row>
    <row r="1294" spans="1:16">
      <c r="A1294" s="2281"/>
      <c r="E1294" s="2281"/>
      <c r="I1294" s="2281"/>
      <c r="K1294" s="2350"/>
      <c r="L1294" s="2350"/>
      <c r="M1294" s="2281"/>
      <c r="P1294" s="2281"/>
    </row>
    <row r="1295" spans="1:16">
      <c r="A1295" s="2281"/>
      <c r="E1295" s="2281"/>
      <c r="I1295" s="2281"/>
      <c r="K1295" s="2350"/>
      <c r="L1295" s="2350"/>
      <c r="M1295" s="2281"/>
      <c r="P1295" s="2281"/>
    </row>
    <row r="1296" spans="1:16">
      <c r="A1296" s="2281"/>
      <c r="E1296" s="2281"/>
      <c r="I1296" s="2281"/>
      <c r="K1296" s="2350"/>
      <c r="L1296" s="2350"/>
      <c r="M1296" s="2281"/>
      <c r="P1296" s="2281"/>
    </row>
    <row r="1297" spans="1:16">
      <c r="A1297" s="2281"/>
      <c r="E1297" s="2281"/>
      <c r="I1297" s="2281"/>
      <c r="K1297" s="2350"/>
      <c r="L1297" s="2350"/>
      <c r="M1297" s="2281"/>
      <c r="P1297" s="2281"/>
    </row>
    <row r="1298" spans="1:16">
      <c r="A1298" s="2281"/>
      <c r="E1298" s="2281"/>
      <c r="I1298" s="2281"/>
      <c r="K1298" s="2350"/>
      <c r="L1298" s="2350"/>
      <c r="M1298" s="2281"/>
      <c r="P1298" s="2281"/>
    </row>
    <row r="1299" spans="1:16">
      <c r="A1299" s="2281"/>
      <c r="E1299" s="2281"/>
      <c r="I1299" s="2281"/>
      <c r="K1299" s="2350"/>
      <c r="L1299" s="2350"/>
      <c r="M1299" s="2281"/>
      <c r="P1299" s="2281"/>
    </row>
    <row r="1300" spans="1:16">
      <c r="A1300" s="2281"/>
      <c r="E1300" s="2281"/>
      <c r="I1300" s="2281"/>
      <c r="K1300" s="2350"/>
      <c r="L1300" s="2350"/>
      <c r="M1300" s="2281"/>
      <c r="P1300" s="2281"/>
    </row>
    <row r="1301" spans="1:16">
      <c r="A1301" s="2281"/>
      <c r="E1301" s="2281"/>
      <c r="I1301" s="2281"/>
      <c r="K1301" s="2350"/>
      <c r="L1301" s="2350"/>
      <c r="M1301" s="2281"/>
      <c r="P1301" s="2281"/>
    </row>
    <row r="1302" spans="1:16">
      <c r="A1302" s="2281"/>
      <c r="E1302" s="2281"/>
      <c r="I1302" s="2281"/>
      <c r="K1302" s="2350"/>
      <c r="L1302" s="2350"/>
      <c r="M1302" s="2281"/>
      <c r="P1302" s="2281"/>
    </row>
    <row r="1303" spans="1:16">
      <c r="A1303" s="2281"/>
      <c r="E1303" s="2281"/>
      <c r="I1303" s="2281"/>
      <c r="K1303" s="2350"/>
      <c r="L1303" s="2350"/>
      <c r="M1303" s="2281"/>
      <c r="P1303" s="2281"/>
    </row>
    <row r="1304" spans="1:16">
      <c r="A1304" s="2281"/>
      <c r="E1304" s="2281"/>
      <c r="I1304" s="2281"/>
      <c r="K1304" s="2350"/>
      <c r="L1304" s="2350"/>
      <c r="M1304" s="2281"/>
      <c r="P1304" s="2281"/>
    </row>
    <row r="1305" spans="1:16">
      <c r="A1305" s="2281"/>
      <c r="E1305" s="2281"/>
      <c r="I1305" s="2281"/>
      <c r="K1305" s="2350"/>
      <c r="L1305" s="2350"/>
      <c r="M1305" s="2281"/>
      <c r="P1305" s="2281"/>
    </row>
    <row r="1306" spans="1:16">
      <c r="A1306" s="2281"/>
      <c r="E1306" s="2281"/>
      <c r="I1306" s="2281"/>
      <c r="K1306" s="2350"/>
      <c r="L1306" s="2350"/>
      <c r="M1306" s="2281"/>
      <c r="P1306" s="2281"/>
    </row>
    <row r="1307" spans="1:16">
      <c r="A1307" s="2281"/>
      <c r="E1307" s="2281"/>
      <c r="I1307" s="2281"/>
      <c r="K1307" s="2350"/>
      <c r="L1307" s="2350"/>
      <c r="M1307" s="2281"/>
      <c r="P1307" s="2281"/>
    </row>
    <row r="1308" spans="1:16">
      <c r="A1308" s="2281"/>
      <c r="E1308" s="2281"/>
      <c r="I1308" s="2281"/>
      <c r="K1308" s="2350"/>
      <c r="L1308" s="2350"/>
      <c r="M1308" s="2281"/>
      <c r="P1308" s="2281"/>
    </row>
    <row r="1309" spans="1:16">
      <c r="A1309" s="2281"/>
      <c r="E1309" s="2281"/>
      <c r="I1309" s="2281"/>
      <c r="K1309" s="2350"/>
      <c r="L1309" s="2350"/>
      <c r="M1309" s="2281"/>
      <c r="P1309" s="2281"/>
    </row>
    <row r="1310" spans="1:16">
      <c r="A1310" s="2281"/>
      <c r="E1310" s="2281"/>
      <c r="I1310" s="2281"/>
      <c r="K1310" s="2350"/>
      <c r="L1310" s="2350"/>
      <c r="M1310" s="2281"/>
      <c r="P1310" s="2281"/>
    </row>
    <row r="1311" spans="1:16">
      <c r="A1311" s="2281"/>
      <c r="E1311" s="2281"/>
      <c r="I1311" s="2281"/>
      <c r="K1311" s="2350"/>
      <c r="L1311" s="2350"/>
      <c r="M1311" s="2281"/>
      <c r="P1311" s="2281"/>
    </row>
    <row r="1312" spans="1:16">
      <c r="A1312" s="2281"/>
      <c r="E1312" s="2281"/>
      <c r="I1312" s="2281"/>
      <c r="K1312" s="2350"/>
      <c r="L1312" s="2350"/>
      <c r="M1312" s="2281"/>
      <c r="P1312" s="2281"/>
    </row>
    <row r="1313" spans="1:16">
      <c r="A1313" s="2281"/>
      <c r="E1313" s="2281"/>
      <c r="I1313" s="2281"/>
      <c r="K1313" s="2350"/>
      <c r="L1313" s="2350"/>
      <c r="M1313" s="2281"/>
      <c r="P1313" s="2281"/>
    </row>
    <row r="1314" spans="1:16">
      <c r="A1314" s="2281"/>
      <c r="E1314" s="2281"/>
      <c r="I1314" s="2281"/>
      <c r="K1314" s="2350"/>
      <c r="L1314" s="2350"/>
      <c r="M1314" s="2281"/>
      <c r="P1314" s="2281"/>
    </row>
    <row r="1315" spans="1:16">
      <c r="A1315" s="2281"/>
      <c r="E1315" s="2281"/>
      <c r="I1315" s="2281"/>
      <c r="K1315" s="2350"/>
      <c r="L1315" s="2350"/>
      <c r="M1315" s="2281"/>
      <c r="P1315" s="2281"/>
    </row>
    <row r="1316" spans="1:16">
      <c r="A1316" s="2281"/>
      <c r="E1316" s="2281"/>
      <c r="I1316" s="2281"/>
      <c r="K1316" s="2350"/>
      <c r="L1316" s="2350"/>
      <c r="M1316" s="2281"/>
      <c r="P1316" s="2281"/>
    </row>
    <row r="1317" spans="1:16">
      <c r="A1317" s="2281"/>
      <c r="E1317" s="2281"/>
      <c r="I1317" s="2281"/>
      <c r="K1317" s="2350"/>
      <c r="L1317" s="2350"/>
      <c r="M1317" s="2281"/>
      <c r="P1317" s="2281"/>
    </row>
    <row r="1318" spans="1:16">
      <c r="A1318" s="2281"/>
      <c r="E1318" s="2281"/>
      <c r="I1318" s="2281"/>
      <c r="K1318" s="2350"/>
      <c r="L1318" s="2350"/>
      <c r="M1318" s="2281"/>
      <c r="P1318" s="2281"/>
    </row>
    <row r="1319" spans="1:16">
      <c r="A1319" s="2281"/>
      <c r="E1319" s="2281"/>
      <c r="I1319" s="2281"/>
      <c r="K1319" s="2350"/>
      <c r="L1319" s="2350"/>
      <c r="M1319" s="2281"/>
      <c r="P1319" s="2281"/>
    </row>
    <row r="1320" spans="1:16">
      <c r="A1320" s="2281"/>
      <c r="E1320" s="2281"/>
      <c r="I1320" s="2281"/>
      <c r="K1320" s="2350"/>
      <c r="L1320" s="2350"/>
      <c r="M1320" s="2281"/>
      <c r="P1320" s="2281"/>
    </row>
    <row r="1321" spans="1:16">
      <c r="A1321" s="2281"/>
      <c r="E1321" s="2281"/>
      <c r="I1321" s="2281"/>
      <c r="K1321" s="2350"/>
      <c r="L1321" s="2350"/>
      <c r="M1321" s="2281"/>
      <c r="P1321" s="2281"/>
    </row>
    <row r="1322" spans="1:16">
      <c r="A1322" s="2281"/>
      <c r="E1322" s="2281"/>
      <c r="I1322" s="2281"/>
      <c r="K1322" s="2350"/>
      <c r="L1322" s="2350"/>
      <c r="M1322" s="2281"/>
      <c r="P1322" s="2281"/>
    </row>
    <row r="1323" spans="1:16">
      <c r="A1323" s="2281"/>
      <c r="E1323" s="2281"/>
      <c r="I1323" s="2281"/>
      <c r="K1323" s="2350"/>
      <c r="L1323" s="2350"/>
      <c r="M1323" s="2281"/>
      <c r="P1323" s="2281"/>
    </row>
    <row r="1324" spans="1:16">
      <c r="A1324" s="2281"/>
      <c r="E1324" s="2281"/>
      <c r="I1324" s="2281"/>
      <c r="K1324" s="2350"/>
      <c r="L1324" s="2350"/>
      <c r="M1324" s="2281"/>
      <c r="P1324" s="2281"/>
    </row>
    <row r="1325" spans="1:16">
      <c r="A1325" s="2281"/>
      <c r="E1325" s="2281"/>
      <c r="I1325" s="2281"/>
      <c r="K1325" s="2350"/>
      <c r="L1325" s="2350"/>
      <c r="M1325" s="2281"/>
      <c r="P1325" s="2281"/>
    </row>
    <row r="1326" spans="1:16">
      <c r="A1326" s="2281"/>
      <c r="E1326" s="2281"/>
      <c r="I1326" s="2281"/>
      <c r="K1326" s="2350"/>
      <c r="L1326" s="2350"/>
      <c r="M1326" s="2281"/>
      <c r="P1326" s="2281"/>
    </row>
    <row r="1327" spans="1:16">
      <c r="A1327" s="2281"/>
      <c r="E1327" s="2281"/>
      <c r="I1327" s="2281"/>
      <c r="K1327" s="2350"/>
      <c r="L1327" s="2350"/>
      <c r="M1327" s="2281"/>
      <c r="P1327" s="2281"/>
    </row>
    <row r="1328" spans="1:16">
      <c r="A1328" s="2281"/>
      <c r="E1328" s="2281"/>
      <c r="I1328" s="2281"/>
      <c r="K1328" s="2350"/>
      <c r="L1328" s="2350"/>
      <c r="M1328" s="2281"/>
      <c r="P1328" s="2281"/>
    </row>
    <row r="1329" spans="1:16">
      <c r="A1329" s="2281"/>
      <c r="E1329" s="2281"/>
      <c r="I1329" s="2281"/>
      <c r="K1329" s="2350"/>
      <c r="L1329" s="2350"/>
      <c r="M1329" s="2281"/>
      <c r="P1329" s="2281"/>
    </row>
    <row r="1330" spans="1:16">
      <c r="A1330" s="2281"/>
      <c r="E1330" s="2281"/>
      <c r="I1330" s="2281"/>
      <c r="K1330" s="2350"/>
      <c r="L1330" s="2350"/>
      <c r="M1330" s="2281"/>
      <c r="P1330" s="2281"/>
    </row>
    <row r="1331" spans="1:16">
      <c r="A1331" s="2281"/>
      <c r="E1331" s="2281"/>
      <c r="I1331" s="2281"/>
      <c r="K1331" s="2350"/>
      <c r="L1331" s="2350"/>
      <c r="M1331" s="2281"/>
      <c r="P1331" s="2281"/>
    </row>
    <row r="1332" spans="1:16">
      <c r="A1332" s="2281"/>
      <c r="E1332" s="2281"/>
      <c r="I1332" s="2281"/>
      <c r="K1332" s="2350"/>
      <c r="L1332" s="2350"/>
      <c r="M1332" s="2281"/>
      <c r="P1332" s="2281"/>
    </row>
    <row r="1333" spans="1:16">
      <c r="A1333" s="2281"/>
      <c r="E1333" s="2281"/>
      <c r="I1333" s="2281"/>
      <c r="K1333" s="2350"/>
      <c r="L1333" s="2350"/>
      <c r="M1333" s="2281"/>
      <c r="P1333" s="2281"/>
    </row>
    <row r="1334" spans="1:16">
      <c r="A1334" s="2281"/>
      <c r="E1334" s="2281"/>
      <c r="I1334" s="2281"/>
      <c r="K1334" s="2350"/>
      <c r="L1334" s="2350"/>
      <c r="M1334" s="2281"/>
      <c r="P1334" s="2281"/>
    </row>
    <row r="1335" spans="1:16">
      <c r="A1335" s="2281"/>
      <c r="E1335" s="2281"/>
      <c r="I1335" s="2281"/>
      <c r="K1335" s="2350"/>
      <c r="L1335" s="2350"/>
      <c r="M1335" s="2281"/>
      <c r="P1335" s="2281"/>
    </row>
    <row r="1336" spans="1:16">
      <c r="A1336" s="2281"/>
      <c r="E1336" s="2281"/>
      <c r="I1336" s="2281"/>
      <c r="K1336" s="2350"/>
      <c r="L1336" s="2350"/>
      <c r="M1336" s="2281"/>
      <c r="P1336" s="2281"/>
    </row>
    <row r="1337" spans="1:16">
      <c r="A1337" s="2281"/>
      <c r="E1337" s="2281"/>
      <c r="I1337" s="2281"/>
      <c r="K1337" s="2350"/>
      <c r="L1337" s="2350"/>
      <c r="M1337" s="2281"/>
      <c r="P1337" s="2281"/>
    </row>
    <row r="1338" spans="1:16">
      <c r="A1338" s="2281"/>
      <c r="E1338" s="2281"/>
      <c r="I1338" s="2281"/>
      <c r="K1338" s="2350"/>
      <c r="L1338" s="2350"/>
      <c r="M1338" s="2281"/>
      <c r="P1338" s="2281"/>
    </row>
    <row r="1339" spans="1:16">
      <c r="A1339" s="2281"/>
      <c r="E1339" s="2281"/>
      <c r="I1339" s="2281"/>
      <c r="K1339" s="2350"/>
      <c r="L1339" s="2350"/>
      <c r="M1339" s="2281"/>
      <c r="P1339" s="2281"/>
    </row>
    <row r="1340" spans="1:16">
      <c r="A1340" s="2281"/>
      <c r="E1340" s="2281"/>
      <c r="I1340" s="2281"/>
      <c r="K1340" s="2350"/>
      <c r="L1340" s="2350"/>
      <c r="M1340" s="2281"/>
      <c r="P1340" s="2281"/>
    </row>
    <row r="1341" spans="1:16">
      <c r="A1341" s="2281"/>
      <c r="E1341" s="2281"/>
      <c r="I1341" s="2281"/>
      <c r="K1341" s="2350"/>
      <c r="L1341" s="2350"/>
      <c r="M1341" s="2281"/>
      <c r="P1341" s="2281"/>
    </row>
    <row r="1342" spans="1:16">
      <c r="A1342" s="2281"/>
      <c r="E1342" s="2281"/>
      <c r="I1342" s="2281"/>
      <c r="K1342" s="2350"/>
      <c r="L1342" s="2350"/>
      <c r="M1342" s="2281"/>
      <c r="P1342" s="2281"/>
    </row>
    <row r="1343" spans="1:16">
      <c r="A1343" s="2281"/>
      <c r="E1343" s="2281"/>
      <c r="I1343" s="2281"/>
      <c r="K1343" s="2350"/>
      <c r="L1343" s="2350"/>
      <c r="M1343" s="2281"/>
      <c r="P1343" s="2281"/>
    </row>
    <row r="1344" spans="1:16">
      <c r="A1344" s="2281"/>
      <c r="E1344" s="2281"/>
      <c r="I1344" s="2281"/>
      <c r="K1344" s="2350"/>
      <c r="L1344" s="2350"/>
      <c r="M1344" s="2281"/>
      <c r="P1344" s="2281"/>
    </row>
    <row r="1345" spans="1:16">
      <c r="A1345" s="2281"/>
      <c r="E1345" s="2281"/>
      <c r="I1345" s="2281"/>
      <c r="K1345" s="2350"/>
      <c r="L1345" s="2350"/>
      <c r="M1345" s="2281"/>
      <c r="P1345" s="2281"/>
    </row>
    <row r="1346" spans="1:16">
      <c r="A1346" s="2281"/>
      <c r="E1346" s="2281"/>
      <c r="I1346" s="2281"/>
      <c r="K1346" s="2350"/>
      <c r="L1346" s="2350"/>
      <c r="M1346" s="2281"/>
      <c r="P1346" s="2281"/>
    </row>
    <row r="1347" spans="1:16">
      <c r="A1347" s="2281"/>
      <c r="E1347" s="2281"/>
      <c r="I1347" s="2281"/>
      <c r="K1347" s="2350"/>
      <c r="L1347" s="2350"/>
      <c r="M1347" s="2281"/>
      <c r="P1347" s="2281"/>
    </row>
    <row r="1348" spans="1:16">
      <c r="A1348" s="2281"/>
      <c r="E1348" s="2281"/>
      <c r="I1348" s="2281"/>
      <c r="K1348" s="2350"/>
      <c r="L1348" s="2350"/>
      <c r="M1348" s="2281"/>
      <c r="P1348" s="2281"/>
    </row>
    <row r="1349" spans="1:16">
      <c r="A1349" s="2281"/>
      <c r="E1349" s="2281"/>
      <c r="I1349" s="2281"/>
      <c r="K1349" s="2350"/>
      <c r="L1349" s="2350"/>
      <c r="M1349" s="2281"/>
      <c r="P1349" s="2281"/>
    </row>
    <row r="1350" spans="1:16">
      <c r="A1350" s="2281"/>
      <c r="E1350" s="2281"/>
      <c r="I1350" s="2281"/>
      <c r="K1350" s="2350"/>
      <c r="L1350" s="2350"/>
      <c r="M1350" s="2281"/>
      <c r="P1350" s="2281"/>
    </row>
    <row r="1351" spans="1:16">
      <c r="A1351" s="2281"/>
      <c r="E1351" s="2281"/>
      <c r="I1351" s="2281"/>
      <c r="K1351" s="2350"/>
      <c r="L1351" s="2350"/>
      <c r="M1351" s="2281"/>
      <c r="P1351" s="2281"/>
    </row>
    <row r="1352" spans="1:16">
      <c r="A1352" s="2281"/>
      <c r="E1352" s="2281"/>
      <c r="I1352" s="2281"/>
      <c r="K1352" s="2350"/>
      <c r="L1352" s="2350"/>
      <c r="M1352" s="2281"/>
      <c r="P1352" s="2281"/>
    </row>
    <row r="1353" spans="1:16">
      <c r="A1353" s="2281"/>
      <c r="E1353" s="2281"/>
      <c r="I1353" s="2281"/>
      <c r="K1353" s="2350"/>
      <c r="L1353" s="2350"/>
      <c r="M1353" s="2281"/>
      <c r="P1353" s="2281"/>
    </row>
    <row r="1354" spans="1:16">
      <c r="A1354" s="2281"/>
      <c r="E1354" s="2281"/>
      <c r="I1354" s="2281"/>
      <c r="K1354" s="2350"/>
      <c r="L1354" s="2350"/>
      <c r="M1354" s="2281"/>
      <c r="P1354" s="2281"/>
    </row>
    <row r="1355" spans="1:16">
      <c r="A1355" s="2281"/>
      <c r="E1355" s="2281"/>
      <c r="I1355" s="2281"/>
      <c r="K1355" s="2350"/>
      <c r="L1355" s="2350"/>
      <c r="M1355" s="2281"/>
      <c r="P1355" s="2281"/>
    </row>
    <row r="1356" spans="1:16">
      <c r="A1356" s="2281"/>
      <c r="E1356" s="2281"/>
      <c r="I1356" s="2281"/>
      <c r="K1356" s="2350"/>
      <c r="L1356" s="2350"/>
      <c r="M1356" s="2281"/>
      <c r="P1356" s="2281"/>
    </row>
    <row r="1357" spans="1:16">
      <c r="A1357" s="2281"/>
      <c r="E1357" s="2281"/>
      <c r="I1357" s="2281"/>
      <c r="K1357" s="2350"/>
      <c r="L1357" s="2350"/>
      <c r="M1357" s="2281"/>
      <c r="P1357" s="2281"/>
    </row>
    <row r="1358" spans="1:16">
      <c r="A1358" s="2281"/>
      <c r="E1358" s="2281"/>
      <c r="I1358" s="2281"/>
      <c r="K1358" s="2350"/>
      <c r="L1358" s="2350"/>
      <c r="M1358" s="2281"/>
      <c r="P1358" s="2281"/>
    </row>
    <row r="1359" spans="1:16">
      <c r="A1359" s="2281"/>
      <c r="E1359" s="2281"/>
      <c r="I1359" s="2281"/>
      <c r="K1359" s="2350"/>
      <c r="L1359" s="2350"/>
      <c r="M1359" s="2281"/>
      <c r="P1359" s="2281"/>
    </row>
    <row r="1360" spans="1:16">
      <c r="A1360" s="2281"/>
      <c r="E1360" s="2281"/>
      <c r="I1360" s="2281"/>
      <c r="K1360" s="2350"/>
      <c r="L1360" s="2350"/>
      <c r="M1360" s="2281"/>
      <c r="P1360" s="2281"/>
    </row>
    <row r="1361" spans="1:16">
      <c r="A1361" s="2281"/>
      <c r="E1361" s="2281"/>
      <c r="I1361" s="2281"/>
      <c r="K1361" s="2350"/>
      <c r="L1361" s="2350"/>
      <c r="M1361" s="2281"/>
      <c r="P1361" s="2281"/>
    </row>
    <row r="1362" spans="1:16">
      <c r="A1362" s="2281"/>
      <c r="E1362" s="2281"/>
      <c r="I1362" s="2281"/>
      <c r="K1362" s="2350"/>
      <c r="L1362" s="2350"/>
      <c r="M1362" s="2281"/>
      <c r="P1362" s="2281"/>
    </row>
    <row r="1363" spans="1:16">
      <c r="A1363" s="2281"/>
      <c r="E1363" s="2281"/>
      <c r="I1363" s="2281"/>
      <c r="K1363" s="2350"/>
      <c r="L1363" s="2350"/>
      <c r="M1363" s="2281"/>
      <c r="P1363" s="2281"/>
    </row>
    <row r="1364" spans="1:16">
      <c r="A1364" s="2281"/>
      <c r="E1364" s="2281"/>
      <c r="I1364" s="2281"/>
      <c r="K1364" s="2350"/>
      <c r="L1364" s="2350"/>
      <c r="M1364" s="2281"/>
      <c r="P1364" s="2281"/>
    </row>
    <row r="1365" spans="1:16">
      <c r="A1365" s="2281"/>
      <c r="E1365" s="2281"/>
      <c r="I1365" s="2281"/>
      <c r="K1365" s="2350"/>
      <c r="L1365" s="2350"/>
      <c r="M1365" s="2281"/>
      <c r="P1365" s="2281"/>
    </row>
    <row r="1366" spans="1:16">
      <c r="A1366" s="2281"/>
      <c r="E1366" s="2281"/>
      <c r="I1366" s="2281"/>
      <c r="K1366" s="2350"/>
      <c r="L1366" s="2350"/>
      <c r="M1366" s="2281"/>
      <c r="P1366" s="2281"/>
    </row>
    <row r="1367" spans="1:16">
      <c r="A1367" s="2281"/>
      <c r="E1367" s="2281"/>
      <c r="I1367" s="2281"/>
      <c r="K1367" s="2350"/>
      <c r="L1367" s="2350"/>
      <c r="M1367" s="2281"/>
      <c r="P1367" s="2281"/>
    </row>
    <row r="1368" spans="1:16">
      <c r="A1368" s="2281"/>
      <c r="E1368" s="2281"/>
      <c r="I1368" s="2281"/>
      <c r="K1368" s="2350"/>
      <c r="L1368" s="2350"/>
      <c r="M1368" s="2281"/>
      <c r="P1368" s="2281"/>
    </row>
    <row r="1369" spans="1:16">
      <c r="A1369" s="2281"/>
      <c r="E1369" s="2281"/>
      <c r="I1369" s="2281"/>
      <c r="K1369" s="2350"/>
      <c r="L1369" s="2350"/>
      <c r="M1369" s="2281"/>
      <c r="P1369" s="2281"/>
    </row>
    <row r="1370" spans="1:16">
      <c r="A1370" s="2281"/>
      <c r="E1370" s="2281"/>
      <c r="I1370" s="2281"/>
      <c r="K1370" s="2350"/>
      <c r="L1370" s="2350"/>
      <c r="M1370" s="2281"/>
      <c r="P1370" s="2281"/>
    </row>
    <row r="1371" spans="1:16">
      <c r="A1371" s="2281"/>
      <c r="E1371" s="2281"/>
      <c r="I1371" s="2281"/>
      <c r="K1371" s="2350"/>
      <c r="L1371" s="2350"/>
      <c r="M1371" s="2281"/>
      <c r="P1371" s="2281"/>
    </row>
    <row r="1372" spans="1:16">
      <c r="A1372" s="2281"/>
      <c r="E1372" s="2281"/>
      <c r="I1372" s="2281"/>
      <c r="K1372" s="2350"/>
      <c r="L1372" s="2350"/>
      <c r="M1372" s="2281"/>
      <c r="P1372" s="2281"/>
    </row>
    <row r="1373" spans="1:16">
      <c r="A1373" s="2281"/>
      <c r="E1373" s="2281"/>
      <c r="I1373" s="2281"/>
      <c r="K1373" s="2350"/>
      <c r="L1373" s="2350"/>
      <c r="M1373" s="2281"/>
      <c r="P1373" s="2281"/>
    </row>
    <row r="1374" spans="1:16">
      <c r="A1374" s="2281"/>
      <c r="E1374" s="2281"/>
      <c r="I1374" s="2281"/>
      <c r="K1374" s="2350"/>
      <c r="L1374" s="2350"/>
      <c r="M1374" s="2281"/>
      <c r="P1374" s="2281"/>
    </row>
    <row r="1375" spans="1:16">
      <c r="A1375" s="2281"/>
      <c r="E1375" s="2281"/>
      <c r="I1375" s="2281"/>
      <c r="K1375" s="2350"/>
      <c r="L1375" s="2350"/>
      <c r="M1375" s="2281"/>
      <c r="P1375" s="2281"/>
    </row>
    <row r="1376" spans="1:16">
      <c r="A1376" s="2281"/>
      <c r="E1376" s="2281"/>
      <c r="I1376" s="2281"/>
      <c r="K1376" s="2350"/>
      <c r="L1376" s="2350"/>
      <c r="M1376" s="2281"/>
      <c r="P1376" s="2281"/>
    </row>
    <row r="1377" spans="1:16">
      <c r="A1377" s="2281"/>
      <c r="E1377" s="2281"/>
      <c r="I1377" s="2281"/>
      <c r="K1377" s="2350"/>
      <c r="L1377" s="2350"/>
      <c r="M1377" s="2281"/>
      <c r="P1377" s="2281"/>
    </row>
    <row r="1378" spans="1:16">
      <c r="A1378" s="2281"/>
      <c r="E1378" s="2281"/>
      <c r="I1378" s="2281"/>
      <c r="K1378" s="2350"/>
      <c r="L1378" s="2350"/>
      <c r="M1378" s="2281"/>
      <c r="P1378" s="2281"/>
    </row>
    <row r="1379" spans="1:16">
      <c r="A1379" s="2281"/>
      <c r="E1379" s="2281"/>
      <c r="I1379" s="2281"/>
      <c r="K1379" s="2350"/>
      <c r="L1379" s="2350"/>
      <c r="M1379" s="2281"/>
      <c r="P1379" s="2281"/>
    </row>
    <row r="1380" spans="1:16">
      <c r="A1380" s="2281"/>
      <c r="E1380" s="2281"/>
      <c r="I1380" s="2281"/>
      <c r="K1380" s="2350"/>
      <c r="L1380" s="2350"/>
      <c r="M1380" s="2281"/>
      <c r="P1380" s="2281"/>
    </row>
    <row r="1381" spans="1:16">
      <c r="A1381" s="2281"/>
      <c r="E1381" s="2281"/>
      <c r="I1381" s="2281"/>
      <c r="K1381" s="2350"/>
      <c r="L1381" s="2350"/>
      <c r="M1381" s="2281"/>
      <c r="P1381" s="2281"/>
    </row>
    <row r="1382" spans="1:16">
      <c r="A1382" s="2281"/>
      <c r="E1382" s="2281"/>
      <c r="I1382" s="2281"/>
      <c r="K1382" s="2350"/>
      <c r="L1382" s="2350"/>
      <c r="M1382" s="2281"/>
      <c r="P1382" s="2281"/>
    </row>
    <row r="1383" spans="1:16">
      <c r="A1383" s="2281"/>
      <c r="E1383" s="2281"/>
      <c r="I1383" s="2281"/>
      <c r="K1383" s="2350"/>
      <c r="L1383" s="2350"/>
      <c r="M1383" s="2281"/>
      <c r="P1383" s="2281"/>
    </row>
    <row r="1384" spans="1:16">
      <c r="A1384" s="2281"/>
      <c r="E1384" s="2281"/>
      <c r="I1384" s="2281"/>
      <c r="K1384" s="2350"/>
      <c r="L1384" s="2350"/>
      <c r="M1384" s="2281"/>
      <c r="P1384" s="2281"/>
    </row>
    <row r="1385" spans="1:16">
      <c r="A1385" s="2281"/>
      <c r="E1385" s="2281"/>
      <c r="I1385" s="2281"/>
      <c r="K1385" s="2350"/>
      <c r="L1385" s="2350"/>
      <c r="M1385" s="2281"/>
      <c r="P1385" s="2281"/>
    </row>
    <row r="1386" spans="1:16">
      <c r="A1386" s="2281"/>
      <c r="E1386" s="2281"/>
      <c r="I1386" s="2281"/>
      <c r="K1386" s="2350"/>
      <c r="L1386" s="2350"/>
      <c r="M1386" s="2281"/>
      <c r="P1386" s="2281"/>
    </row>
    <row r="1387" spans="1:16">
      <c r="A1387" s="2281"/>
      <c r="E1387" s="2281"/>
      <c r="I1387" s="2281"/>
      <c r="K1387" s="2350"/>
      <c r="L1387" s="2350"/>
      <c r="M1387" s="2281"/>
      <c r="P1387" s="2281"/>
    </row>
    <row r="1388" spans="1:16">
      <c r="A1388" s="2281"/>
      <c r="E1388" s="2281"/>
      <c r="I1388" s="2281"/>
      <c r="K1388" s="2350"/>
      <c r="L1388" s="2350"/>
      <c r="M1388" s="2281"/>
      <c r="P1388" s="2281"/>
    </row>
    <row r="1389" spans="1:16">
      <c r="A1389" s="2281"/>
      <c r="E1389" s="2281"/>
      <c r="I1389" s="2281"/>
      <c r="K1389" s="2350"/>
      <c r="L1389" s="2350"/>
      <c r="M1389" s="2281"/>
      <c r="P1389" s="2281"/>
    </row>
    <row r="1390" spans="1:16">
      <c r="A1390" s="2281"/>
      <c r="E1390" s="2281"/>
      <c r="I1390" s="2281"/>
      <c r="K1390" s="2350"/>
      <c r="L1390" s="2350"/>
      <c r="M1390" s="2281"/>
      <c r="P1390" s="2281"/>
    </row>
    <row r="1391" spans="1:16">
      <c r="A1391" s="2281"/>
      <c r="E1391" s="2281"/>
      <c r="I1391" s="2281"/>
      <c r="K1391" s="2350"/>
      <c r="L1391" s="2350"/>
      <c r="M1391" s="2281"/>
      <c r="P1391" s="2281"/>
    </row>
    <row r="1392" spans="1:16">
      <c r="A1392" s="2281"/>
      <c r="E1392" s="2281"/>
      <c r="I1392" s="2281"/>
      <c r="K1392" s="2350"/>
      <c r="L1392" s="2350"/>
      <c r="M1392" s="2281"/>
      <c r="P1392" s="2281"/>
    </row>
    <row r="1393" spans="1:16">
      <c r="A1393" s="2281"/>
      <c r="E1393" s="2281"/>
      <c r="I1393" s="2281"/>
      <c r="K1393" s="2350"/>
      <c r="L1393" s="2350"/>
      <c r="M1393" s="2281"/>
      <c r="P1393" s="2281"/>
    </row>
    <row r="1394" spans="1:16">
      <c r="A1394" s="2281"/>
      <c r="E1394" s="2281"/>
      <c r="I1394" s="2281"/>
      <c r="K1394" s="2350"/>
      <c r="L1394" s="2350"/>
      <c r="M1394" s="2281"/>
      <c r="P1394" s="2281"/>
    </row>
    <row r="1395" spans="1:16">
      <c r="A1395" s="2281"/>
      <c r="E1395" s="2281"/>
      <c r="I1395" s="2281"/>
      <c r="K1395" s="2350"/>
      <c r="L1395" s="2350"/>
      <c r="M1395" s="2281"/>
      <c r="P1395" s="2281"/>
    </row>
    <row r="1396" spans="1:16">
      <c r="A1396" s="2281"/>
      <c r="E1396" s="2281"/>
      <c r="I1396" s="2281"/>
      <c r="K1396" s="2350"/>
      <c r="L1396" s="2350"/>
      <c r="M1396" s="2281"/>
      <c r="P1396" s="2281"/>
    </row>
    <row r="1397" spans="1:16">
      <c r="A1397" s="2281"/>
      <c r="E1397" s="2281"/>
      <c r="I1397" s="2281"/>
      <c r="K1397" s="2350"/>
      <c r="L1397" s="2350"/>
      <c r="M1397" s="2281"/>
      <c r="P1397" s="2281"/>
    </row>
    <row r="1398" spans="1:16">
      <c r="A1398" s="2281"/>
      <c r="E1398" s="2281"/>
      <c r="I1398" s="2281"/>
      <c r="K1398" s="2350"/>
      <c r="L1398" s="2350"/>
      <c r="M1398" s="2281"/>
      <c r="P1398" s="2281"/>
    </row>
    <row r="1399" spans="1:16">
      <c r="A1399" s="2281"/>
      <c r="E1399" s="2281"/>
      <c r="I1399" s="2281"/>
      <c r="K1399" s="2350"/>
      <c r="L1399" s="2350"/>
      <c r="M1399" s="2281"/>
      <c r="P1399" s="2281"/>
    </row>
    <row r="1400" spans="1:16">
      <c r="A1400" s="2281"/>
      <c r="E1400" s="2281"/>
      <c r="I1400" s="2281"/>
      <c r="K1400" s="2350"/>
      <c r="L1400" s="2350"/>
      <c r="M1400" s="2281"/>
      <c r="P1400" s="2281"/>
    </row>
    <row r="1401" spans="1:16">
      <c r="A1401" s="2281"/>
      <c r="E1401" s="2281"/>
      <c r="I1401" s="2281"/>
      <c r="K1401" s="2350"/>
      <c r="L1401" s="2350"/>
      <c r="M1401" s="2281"/>
      <c r="P1401" s="2281"/>
    </row>
    <row r="1402" spans="1:16">
      <c r="A1402" s="2281"/>
      <c r="E1402" s="2281"/>
      <c r="I1402" s="2281"/>
      <c r="K1402" s="2350"/>
      <c r="L1402" s="2350"/>
      <c r="M1402" s="2281"/>
      <c r="P1402" s="2281"/>
    </row>
    <row r="1403" spans="1:16">
      <c r="A1403" s="2281"/>
      <c r="E1403" s="2281"/>
      <c r="I1403" s="2281"/>
      <c r="K1403" s="2350"/>
      <c r="L1403" s="2350"/>
      <c r="M1403" s="2281"/>
      <c r="P1403" s="2281"/>
    </row>
    <row r="1404" spans="1:16">
      <c r="A1404" s="2281"/>
      <c r="E1404" s="2281"/>
      <c r="I1404" s="2281"/>
      <c r="K1404" s="2350"/>
      <c r="L1404" s="2350"/>
      <c r="M1404" s="2281"/>
      <c r="P1404" s="2281"/>
    </row>
    <row r="1405" spans="1:16">
      <c r="A1405" s="2281"/>
      <c r="E1405" s="2281"/>
      <c r="I1405" s="2281"/>
      <c r="K1405" s="2350"/>
      <c r="L1405" s="2350"/>
      <c r="M1405" s="2281"/>
      <c r="P1405" s="2281"/>
    </row>
    <row r="1406" spans="1:16">
      <c r="A1406" s="2281"/>
      <c r="E1406" s="2281"/>
      <c r="I1406" s="2281"/>
      <c r="K1406" s="2350"/>
      <c r="L1406" s="2350"/>
      <c r="M1406" s="2281"/>
      <c r="P1406" s="2281"/>
    </row>
    <row r="1407" spans="1:16">
      <c r="A1407" s="2281"/>
      <c r="E1407" s="2281"/>
      <c r="I1407" s="2281"/>
      <c r="K1407" s="2350"/>
      <c r="L1407" s="2350"/>
      <c r="M1407" s="2281"/>
      <c r="P1407" s="2281"/>
    </row>
    <row r="1408" spans="1:16">
      <c r="A1408" s="2281"/>
      <c r="E1408" s="2281"/>
      <c r="I1408" s="2281"/>
      <c r="K1408" s="2350"/>
      <c r="L1408" s="2350"/>
      <c r="M1408" s="2281"/>
      <c r="P1408" s="2281"/>
    </row>
    <row r="1409" spans="1:16">
      <c r="A1409" s="2281"/>
      <c r="E1409" s="2281"/>
      <c r="I1409" s="2281"/>
      <c r="K1409" s="2350"/>
      <c r="L1409" s="2350"/>
      <c r="M1409" s="2281"/>
      <c r="P1409" s="2281"/>
    </row>
    <row r="1410" spans="1:16">
      <c r="A1410" s="2281"/>
      <c r="E1410" s="2281"/>
      <c r="I1410" s="2281"/>
      <c r="K1410" s="2350"/>
      <c r="L1410" s="2350"/>
      <c r="M1410" s="2281"/>
      <c r="P1410" s="2281"/>
    </row>
    <row r="1411" spans="1:16">
      <c r="A1411" s="2281"/>
      <c r="E1411" s="2281"/>
      <c r="I1411" s="2281"/>
      <c r="K1411" s="2350"/>
      <c r="L1411" s="2350"/>
      <c r="M1411" s="2281"/>
      <c r="P1411" s="2281"/>
    </row>
    <row r="1412" spans="1:16">
      <c r="A1412" s="2281"/>
      <c r="E1412" s="2281"/>
      <c r="I1412" s="2281"/>
      <c r="K1412" s="2350"/>
      <c r="L1412" s="2350"/>
      <c r="M1412" s="2281"/>
      <c r="P1412" s="2281"/>
    </row>
    <row r="1413" spans="1:16">
      <c r="A1413" s="2281"/>
      <c r="E1413" s="2281"/>
      <c r="I1413" s="2281"/>
      <c r="K1413" s="2350"/>
      <c r="L1413" s="2350"/>
      <c r="M1413" s="2281"/>
      <c r="P1413" s="2281"/>
    </row>
    <row r="1414" spans="1:16">
      <c r="A1414" s="2281"/>
      <c r="E1414" s="2281"/>
      <c r="I1414" s="2281"/>
      <c r="K1414" s="2350"/>
      <c r="L1414" s="2350"/>
      <c r="M1414" s="2281"/>
      <c r="P1414" s="2281"/>
    </row>
    <row r="1415" spans="1:16">
      <c r="A1415" s="2281"/>
      <c r="E1415" s="2281"/>
      <c r="I1415" s="2281"/>
      <c r="K1415" s="2350"/>
      <c r="L1415" s="2350"/>
      <c r="M1415" s="2281"/>
      <c r="P1415" s="2281"/>
    </row>
    <row r="1416" spans="1:16">
      <c r="A1416" s="2281"/>
      <c r="E1416" s="2281"/>
      <c r="I1416" s="2281"/>
      <c r="K1416" s="2350"/>
      <c r="L1416" s="2350"/>
      <c r="M1416" s="2281"/>
      <c r="P1416" s="2281"/>
    </row>
    <row r="1417" spans="1:16">
      <c r="A1417" s="2281"/>
      <c r="E1417" s="2281"/>
      <c r="I1417" s="2281"/>
      <c r="K1417" s="2350"/>
      <c r="L1417" s="2350"/>
      <c r="M1417" s="2281"/>
      <c r="P1417" s="2281"/>
    </row>
    <row r="1418" spans="1:16">
      <c r="A1418" s="2281"/>
      <c r="E1418" s="2281"/>
      <c r="I1418" s="2281"/>
      <c r="K1418" s="2350"/>
      <c r="L1418" s="2350"/>
      <c r="M1418" s="2281"/>
      <c r="P1418" s="2281"/>
    </row>
    <row r="1419" spans="1:16">
      <c r="A1419" s="2281"/>
      <c r="E1419" s="2281"/>
      <c r="I1419" s="2281"/>
      <c r="K1419" s="2350"/>
      <c r="L1419" s="2350"/>
      <c r="M1419" s="2281"/>
      <c r="P1419" s="2281"/>
    </row>
    <row r="1420" spans="1:16">
      <c r="A1420" s="2281"/>
      <c r="E1420" s="2281"/>
      <c r="I1420" s="2281"/>
      <c r="K1420" s="2350"/>
      <c r="L1420" s="2350"/>
      <c r="M1420" s="2281"/>
      <c r="P1420" s="2281"/>
    </row>
    <row r="1421" spans="1:16">
      <c r="A1421" s="2281"/>
      <c r="E1421" s="2281"/>
      <c r="I1421" s="2281"/>
      <c r="K1421" s="2350"/>
      <c r="L1421" s="2350"/>
      <c r="M1421" s="2281"/>
      <c r="P1421" s="2281"/>
    </row>
    <row r="1422" spans="1:16">
      <c r="A1422" s="2281"/>
      <c r="E1422" s="2281"/>
      <c r="I1422" s="2281"/>
      <c r="K1422" s="2350"/>
      <c r="L1422" s="2350"/>
      <c r="M1422" s="2281"/>
      <c r="P1422" s="2281"/>
    </row>
    <row r="1423" spans="1:16">
      <c r="A1423" s="2281"/>
      <c r="E1423" s="2281"/>
      <c r="I1423" s="2281"/>
      <c r="K1423" s="2350"/>
      <c r="L1423" s="2350"/>
      <c r="M1423" s="2281"/>
      <c r="P1423" s="2281"/>
    </row>
    <row r="1424" spans="1:16">
      <c r="A1424" s="2281"/>
      <c r="E1424" s="2281"/>
      <c r="I1424" s="2281"/>
      <c r="K1424" s="2350"/>
      <c r="L1424" s="2350"/>
      <c r="M1424" s="2281"/>
      <c r="P1424" s="2281"/>
    </row>
    <row r="1425" spans="1:16">
      <c r="A1425" s="2281"/>
      <c r="E1425" s="2281"/>
      <c r="I1425" s="2281"/>
      <c r="K1425" s="2350"/>
      <c r="L1425" s="2350"/>
      <c r="M1425" s="2281"/>
      <c r="P1425" s="2281"/>
    </row>
    <row r="1426" spans="1:16">
      <c r="A1426" s="2281"/>
      <c r="E1426" s="2281"/>
      <c r="I1426" s="2281"/>
      <c r="K1426" s="2350"/>
      <c r="L1426" s="2350"/>
      <c r="M1426" s="2281"/>
      <c r="P1426" s="2281"/>
    </row>
    <row r="1427" spans="1:16">
      <c r="A1427" s="2281"/>
      <c r="E1427" s="2281"/>
      <c r="I1427" s="2281"/>
      <c r="K1427" s="2350"/>
      <c r="L1427" s="2350"/>
      <c r="M1427" s="2281"/>
      <c r="P1427" s="2281"/>
    </row>
    <row r="1428" spans="1:16">
      <c r="A1428" s="2281"/>
      <c r="E1428" s="2281"/>
      <c r="I1428" s="2281"/>
      <c r="K1428" s="2350"/>
      <c r="L1428" s="2350"/>
      <c r="M1428" s="2281"/>
      <c r="P1428" s="2281"/>
    </row>
    <row r="1429" spans="1:16">
      <c r="A1429" s="2281"/>
      <c r="E1429" s="2281"/>
      <c r="I1429" s="2281"/>
      <c r="K1429" s="2350"/>
      <c r="L1429" s="2350"/>
      <c r="M1429" s="2281"/>
      <c r="P1429" s="2281"/>
    </row>
    <row r="1430" spans="1:16">
      <c r="A1430" s="2281"/>
      <c r="E1430" s="2281"/>
      <c r="I1430" s="2281"/>
      <c r="K1430" s="2350"/>
      <c r="L1430" s="2350"/>
      <c r="M1430" s="2281"/>
      <c r="P1430" s="2281"/>
    </row>
    <row r="1431" spans="1:16">
      <c r="A1431" s="2281"/>
      <c r="E1431" s="2281"/>
      <c r="I1431" s="2281"/>
      <c r="K1431" s="2350"/>
      <c r="L1431" s="2350"/>
      <c r="M1431" s="2281"/>
      <c r="P1431" s="2281"/>
    </row>
    <row r="1432" spans="1:16">
      <c r="A1432" s="2281"/>
      <c r="E1432" s="2281"/>
      <c r="I1432" s="2281"/>
      <c r="K1432" s="2350"/>
      <c r="L1432" s="2350"/>
      <c r="M1432" s="2281"/>
      <c r="P1432" s="2281"/>
    </row>
    <row r="1433" spans="1:16">
      <c r="A1433" s="2281"/>
      <c r="E1433" s="2281"/>
      <c r="I1433" s="2281"/>
      <c r="K1433" s="2350"/>
      <c r="L1433" s="2350"/>
      <c r="M1433" s="2281"/>
      <c r="P1433" s="2281"/>
    </row>
    <row r="1434" spans="1:16">
      <c r="A1434" s="2281"/>
      <c r="E1434" s="2281"/>
      <c r="I1434" s="2281"/>
      <c r="K1434" s="2350"/>
      <c r="L1434" s="2350"/>
      <c r="M1434" s="2281"/>
      <c r="P1434" s="2281"/>
    </row>
    <row r="1435" spans="1:16">
      <c r="A1435" s="2281"/>
      <c r="E1435" s="2281"/>
      <c r="I1435" s="2281"/>
      <c r="K1435" s="2350"/>
      <c r="L1435" s="2350"/>
      <c r="M1435" s="2281"/>
      <c r="P1435" s="2281"/>
    </row>
    <row r="1436" spans="1:16">
      <c r="A1436" s="2281"/>
      <c r="E1436" s="2281"/>
      <c r="I1436" s="2281"/>
      <c r="K1436" s="2350"/>
      <c r="L1436" s="2350"/>
      <c r="M1436" s="2281"/>
      <c r="P1436" s="2281"/>
    </row>
    <row r="1437" spans="1:16">
      <c r="A1437" s="2281"/>
      <c r="E1437" s="2281"/>
      <c r="I1437" s="2281"/>
      <c r="K1437" s="2350"/>
      <c r="L1437" s="2350"/>
      <c r="M1437" s="2281"/>
      <c r="P1437" s="2281"/>
    </row>
    <row r="1438" spans="1:16">
      <c r="A1438" s="2281"/>
      <c r="E1438" s="2281"/>
      <c r="I1438" s="2281"/>
      <c r="K1438" s="2350"/>
      <c r="L1438" s="2350"/>
      <c r="M1438" s="2281"/>
      <c r="P1438" s="2281"/>
    </row>
    <row r="1439" spans="1:16">
      <c r="A1439" s="2281"/>
      <c r="E1439" s="2281"/>
      <c r="I1439" s="2281"/>
      <c r="K1439" s="2350"/>
      <c r="L1439" s="2350"/>
      <c r="M1439" s="2281"/>
      <c r="P1439" s="2281"/>
    </row>
    <row r="1440" spans="1:16">
      <c r="A1440" s="2281"/>
      <c r="E1440" s="2281"/>
      <c r="I1440" s="2281"/>
      <c r="K1440" s="2350"/>
      <c r="L1440" s="2350"/>
      <c r="M1440" s="2281"/>
      <c r="P1440" s="2281"/>
    </row>
    <row r="1441" spans="1:16">
      <c r="A1441" s="2281"/>
      <c r="E1441" s="2281"/>
      <c r="I1441" s="2281"/>
      <c r="K1441" s="2350"/>
      <c r="L1441" s="2350"/>
      <c r="M1441" s="2281"/>
      <c r="P1441" s="2281"/>
    </row>
    <row r="1442" spans="1:16">
      <c r="A1442" s="2281"/>
      <c r="E1442" s="2281"/>
      <c r="I1442" s="2281"/>
      <c r="K1442" s="2350"/>
      <c r="L1442" s="2350"/>
      <c r="M1442" s="2281"/>
      <c r="P1442" s="2281"/>
    </row>
    <row r="1443" spans="1:16">
      <c r="A1443" s="2281"/>
      <c r="E1443" s="2281"/>
      <c r="I1443" s="2281"/>
      <c r="K1443" s="2350"/>
      <c r="L1443" s="2350"/>
      <c r="M1443" s="2281"/>
      <c r="P1443" s="2281"/>
    </row>
    <row r="1444" spans="1:16">
      <c r="A1444" s="2281"/>
      <c r="E1444" s="2281"/>
      <c r="I1444" s="2281"/>
      <c r="K1444" s="2350"/>
      <c r="L1444" s="2350"/>
      <c r="M1444" s="2281"/>
      <c r="P1444" s="2281"/>
    </row>
    <row r="1445" spans="1:16">
      <c r="A1445" s="2281"/>
      <c r="E1445" s="2281"/>
      <c r="I1445" s="2281"/>
      <c r="K1445" s="2350"/>
      <c r="L1445" s="2350"/>
      <c r="M1445" s="2281"/>
      <c r="P1445" s="2281"/>
    </row>
    <row r="1446" spans="1:16">
      <c r="A1446" s="2281"/>
      <c r="E1446" s="2281"/>
      <c r="I1446" s="2281"/>
      <c r="K1446" s="2350"/>
      <c r="L1446" s="2350"/>
      <c r="M1446" s="2281"/>
      <c r="P1446" s="2281"/>
    </row>
    <row r="1447" spans="1:16">
      <c r="A1447" s="2281"/>
      <c r="E1447" s="2281"/>
      <c r="I1447" s="2281"/>
      <c r="K1447" s="2350"/>
      <c r="L1447" s="2350"/>
      <c r="M1447" s="2281"/>
      <c r="P1447" s="2281"/>
    </row>
    <row r="1448" spans="1:16">
      <c r="A1448" s="2281"/>
      <c r="E1448" s="2281"/>
      <c r="I1448" s="2281"/>
      <c r="K1448" s="2350"/>
      <c r="L1448" s="2350"/>
      <c r="M1448" s="2281"/>
      <c r="P1448" s="2281"/>
    </row>
    <row r="1449" spans="1:16">
      <c r="A1449" s="2281"/>
      <c r="E1449" s="2281"/>
      <c r="I1449" s="2281"/>
      <c r="K1449" s="2350"/>
      <c r="L1449" s="2350"/>
      <c r="M1449" s="2281"/>
      <c r="P1449" s="2281"/>
    </row>
    <row r="1450" spans="1:16">
      <c r="A1450" s="2281"/>
      <c r="E1450" s="2281"/>
      <c r="I1450" s="2281"/>
      <c r="K1450" s="2350"/>
      <c r="L1450" s="2350"/>
      <c r="M1450" s="2281"/>
      <c r="P1450" s="2281"/>
    </row>
    <row r="1451" spans="1:16">
      <c r="A1451" s="2281"/>
      <c r="E1451" s="2281"/>
      <c r="I1451" s="2281"/>
      <c r="K1451" s="2350"/>
      <c r="L1451" s="2350"/>
      <c r="M1451" s="2281"/>
      <c r="P1451" s="2281"/>
    </row>
    <row r="1452" spans="1:16">
      <c r="A1452" s="2281"/>
      <c r="E1452" s="2281"/>
      <c r="I1452" s="2281"/>
      <c r="K1452" s="2350"/>
      <c r="L1452" s="2350"/>
      <c r="M1452" s="2281"/>
      <c r="P1452" s="2281"/>
    </row>
    <row r="1453" spans="1:16">
      <c r="A1453" s="2281"/>
      <c r="E1453" s="2281"/>
      <c r="I1453" s="2281"/>
      <c r="K1453" s="2350"/>
      <c r="L1453" s="2350"/>
      <c r="M1453" s="2281"/>
      <c r="P1453" s="2281"/>
    </row>
    <row r="1454" spans="1:16">
      <c r="A1454" s="2281"/>
      <c r="E1454" s="2281"/>
      <c r="I1454" s="2281"/>
      <c r="K1454" s="2350"/>
      <c r="L1454" s="2350"/>
      <c r="M1454" s="2281"/>
      <c r="P1454" s="2281"/>
    </row>
    <row r="1455" spans="1:16">
      <c r="A1455" s="2281"/>
      <c r="E1455" s="2281"/>
      <c r="I1455" s="2281"/>
      <c r="K1455" s="2350"/>
      <c r="L1455" s="2350"/>
      <c r="M1455" s="2281"/>
      <c r="P1455" s="2281"/>
    </row>
    <row r="1456" spans="1:16">
      <c r="A1456" s="2281"/>
      <c r="E1456" s="2281"/>
      <c r="I1456" s="2281"/>
      <c r="K1456" s="2350"/>
      <c r="L1456" s="2350"/>
      <c r="M1456" s="2281"/>
      <c r="P1456" s="2281"/>
    </row>
    <row r="1457" spans="1:16">
      <c r="A1457" s="2281"/>
      <c r="E1457" s="2281"/>
      <c r="I1457" s="2281"/>
      <c r="K1457" s="2350"/>
      <c r="L1457" s="2350"/>
      <c r="M1457" s="2281"/>
      <c r="P1457" s="2281"/>
    </row>
    <row r="1458" spans="1:16">
      <c r="A1458" s="2281"/>
      <c r="E1458" s="2281"/>
      <c r="I1458" s="2281"/>
      <c r="K1458" s="2350"/>
      <c r="L1458" s="2350"/>
      <c r="M1458" s="2281"/>
      <c r="P1458" s="2281"/>
    </row>
    <row r="1459" spans="1:16">
      <c r="A1459" s="2281"/>
      <c r="E1459" s="2281"/>
      <c r="I1459" s="2281"/>
      <c r="K1459" s="2350"/>
      <c r="L1459" s="2350"/>
      <c r="M1459" s="2281"/>
      <c r="P1459" s="2281"/>
    </row>
    <row r="1460" spans="1:16">
      <c r="A1460" s="2281"/>
      <c r="E1460" s="2281"/>
      <c r="I1460" s="2281"/>
      <c r="K1460" s="2350"/>
      <c r="L1460" s="2350"/>
      <c r="M1460" s="2281"/>
      <c r="P1460" s="2281"/>
    </row>
    <row r="1461" spans="1:16">
      <c r="A1461" s="2281"/>
      <c r="E1461" s="2281"/>
      <c r="I1461" s="2281"/>
      <c r="K1461" s="2350"/>
      <c r="L1461" s="2350"/>
      <c r="M1461" s="2281"/>
      <c r="P1461" s="2281"/>
    </row>
    <row r="1462" spans="1:16">
      <c r="A1462" s="2281"/>
      <c r="E1462" s="2281"/>
      <c r="I1462" s="2281"/>
      <c r="K1462" s="2350"/>
      <c r="L1462" s="2350"/>
      <c r="M1462" s="2281"/>
      <c r="P1462" s="2281"/>
    </row>
    <row r="1463" spans="1:16">
      <c r="A1463" s="2281"/>
      <c r="E1463" s="2281"/>
      <c r="I1463" s="2281"/>
      <c r="K1463" s="2350"/>
      <c r="L1463" s="2350"/>
      <c r="M1463" s="2281"/>
      <c r="P1463" s="2281"/>
    </row>
    <row r="1464" spans="1:16">
      <c r="A1464" s="2281"/>
      <c r="E1464" s="2281"/>
      <c r="I1464" s="2281"/>
      <c r="K1464" s="2350"/>
      <c r="L1464" s="2350"/>
      <c r="M1464" s="2281"/>
      <c r="P1464" s="2281"/>
    </row>
    <row r="1465" spans="1:16">
      <c r="A1465" s="2281"/>
      <c r="E1465" s="2281"/>
      <c r="I1465" s="2281"/>
      <c r="K1465" s="2350"/>
      <c r="L1465" s="2350"/>
      <c r="M1465" s="2281"/>
      <c r="P1465" s="2281"/>
    </row>
    <row r="1466" spans="1:16">
      <c r="A1466" s="2281"/>
      <c r="E1466" s="2281"/>
      <c r="I1466" s="2281"/>
      <c r="K1466" s="2350"/>
      <c r="L1466" s="2350"/>
      <c r="M1466" s="2281"/>
      <c r="P1466" s="2281"/>
    </row>
    <row r="1467" spans="1:16">
      <c r="A1467" s="2281"/>
      <c r="E1467" s="2281"/>
      <c r="I1467" s="2281"/>
      <c r="K1467" s="2350"/>
      <c r="L1467" s="2350"/>
      <c r="M1467" s="2281"/>
      <c r="P1467" s="2281"/>
    </row>
    <row r="1468" spans="1:16">
      <c r="A1468" s="2281"/>
      <c r="E1468" s="2281"/>
      <c r="I1468" s="2281"/>
      <c r="K1468" s="2350"/>
      <c r="L1468" s="2350"/>
      <c r="M1468" s="2281"/>
      <c r="P1468" s="2281"/>
    </row>
    <row r="1469" spans="1:16">
      <c r="A1469" s="2281"/>
      <c r="E1469" s="2281"/>
      <c r="I1469" s="2281"/>
      <c r="K1469" s="2350"/>
      <c r="L1469" s="2350"/>
      <c r="M1469" s="2281"/>
      <c r="P1469" s="2281"/>
    </row>
    <row r="1470" spans="1:16">
      <c r="A1470" s="2281"/>
      <c r="E1470" s="2281"/>
      <c r="I1470" s="2281"/>
      <c r="K1470" s="2350"/>
      <c r="L1470" s="2350"/>
      <c r="M1470" s="2281"/>
      <c r="P1470" s="2281"/>
    </row>
    <row r="1471" spans="1:16">
      <c r="A1471" s="2281"/>
      <c r="E1471" s="2281"/>
      <c r="I1471" s="2281"/>
      <c r="K1471" s="2350"/>
      <c r="L1471" s="2350"/>
      <c r="M1471" s="2281"/>
      <c r="P1471" s="2281"/>
    </row>
    <row r="1472" spans="1:16">
      <c r="A1472" s="2281"/>
      <c r="E1472" s="2281"/>
      <c r="I1472" s="2281"/>
      <c r="K1472" s="2350"/>
      <c r="L1472" s="2350"/>
      <c r="M1472" s="2281"/>
      <c r="P1472" s="2281"/>
    </row>
    <row r="1473" spans="1:16">
      <c r="A1473" s="2281"/>
      <c r="E1473" s="2281"/>
      <c r="I1473" s="2281"/>
      <c r="K1473" s="2350"/>
      <c r="L1473" s="2350"/>
      <c r="M1473" s="2281"/>
      <c r="P1473" s="2281"/>
    </row>
    <row r="1474" spans="1:16">
      <c r="A1474" s="2281"/>
      <c r="E1474" s="2281"/>
      <c r="I1474" s="2281"/>
      <c r="K1474" s="2350"/>
      <c r="L1474" s="2350"/>
      <c r="M1474" s="2281"/>
      <c r="P1474" s="2281"/>
    </row>
    <row r="1475" spans="1:16">
      <c r="A1475" s="2281"/>
      <c r="E1475" s="2281"/>
      <c r="I1475" s="2281"/>
      <c r="K1475" s="2350"/>
      <c r="L1475" s="2350"/>
      <c r="M1475" s="2281"/>
      <c r="P1475" s="2281"/>
    </row>
    <row r="1476" spans="1:16">
      <c r="A1476" s="2281"/>
      <c r="E1476" s="2281"/>
      <c r="I1476" s="2281"/>
      <c r="K1476" s="2350"/>
      <c r="L1476" s="2350"/>
      <c r="M1476" s="2281"/>
      <c r="P1476" s="2281"/>
    </row>
    <row r="1477" spans="1:16">
      <c r="A1477" s="2281"/>
      <c r="E1477" s="2281"/>
      <c r="I1477" s="2281"/>
      <c r="K1477" s="2350"/>
      <c r="L1477" s="2350"/>
      <c r="M1477" s="2281"/>
      <c r="P1477" s="2281"/>
    </row>
    <row r="1478" spans="1:16">
      <c r="A1478" s="2281"/>
      <c r="E1478" s="2281"/>
      <c r="I1478" s="2281"/>
      <c r="K1478" s="2350"/>
      <c r="L1478" s="2350"/>
      <c r="M1478" s="2281"/>
      <c r="P1478" s="2281"/>
    </row>
    <row r="1479" spans="1:16">
      <c r="A1479" s="2281"/>
      <c r="E1479" s="2281"/>
      <c r="I1479" s="2281"/>
      <c r="K1479" s="2350"/>
      <c r="L1479" s="2350"/>
      <c r="M1479" s="2281"/>
      <c r="P1479" s="2281"/>
    </row>
    <row r="1480" spans="1:16">
      <c r="A1480" s="2281"/>
      <c r="E1480" s="2281"/>
      <c r="I1480" s="2281"/>
      <c r="K1480" s="2350"/>
      <c r="L1480" s="2350"/>
      <c r="M1480" s="2281"/>
      <c r="P1480" s="2281"/>
    </row>
    <row r="1481" spans="1:16">
      <c r="A1481" s="2281"/>
      <c r="E1481" s="2281"/>
      <c r="I1481" s="2281"/>
      <c r="K1481" s="2350"/>
      <c r="L1481" s="2350"/>
      <c r="M1481" s="2281"/>
      <c r="P1481" s="2281"/>
    </row>
    <row r="1482" spans="1:16">
      <c r="A1482" s="2281"/>
      <c r="E1482" s="2281"/>
      <c r="I1482" s="2281"/>
      <c r="K1482" s="2350"/>
      <c r="L1482" s="2350"/>
      <c r="M1482" s="2281"/>
      <c r="P1482" s="2281"/>
    </row>
    <row r="1483" spans="1:16">
      <c r="A1483" s="2281"/>
      <c r="E1483" s="2281"/>
      <c r="I1483" s="2281"/>
      <c r="K1483" s="2350"/>
      <c r="L1483" s="2350"/>
      <c r="M1483" s="2281"/>
      <c r="P1483" s="2281"/>
    </row>
    <row r="1484" spans="1:16">
      <c r="A1484" s="2281"/>
      <c r="E1484" s="2281"/>
      <c r="I1484" s="2281"/>
      <c r="K1484" s="2350"/>
      <c r="L1484" s="2350"/>
      <c r="M1484" s="2281"/>
      <c r="P1484" s="2281"/>
    </row>
    <row r="1485" spans="1:16">
      <c r="A1485" s="2281"/>
      <c r="E1485" s="2281"/>
      <c r="I1485" s="2281"/>
      <c r="K1485" s="2350"/>
      <c r="L1485" s="2350"/>
      <c r="M1485" s="2281"/>
      <c r="P1485" s="2281"/>
    </row>
    <row r="1486" spans="1:16">
      <c r="A1486" s="2281"/>
      <c r="E1486" s="2281"/>
      <c r="I1486" s="2281"/>
      <c r="K1486" s="2350"/>
      <c r="L1486" s="2350"/>
      <c r="M1486" s="2281"/>
      <c r="P1486" s="2281"/>
    </row>
    <row r="1487" spans="1:16">
      <c r="A1487" s="2281"/>
      <c r="E1487" s="2281"/>
      <c r="I1487" s="2281"/>
      <c r="K1487" s="2350"/>
      <c r="L1487" s="2350"/>
      <c r="M1487" s="2281"/>
      <c r="P1487" s="2281"/>
    </row>
    <row r="1488" spans="1:16">
      <c r="A1488" s="2281"/>
      <c r="E1488" s="2281"/>
      <c r="I1488" s="2281"/>
      <c r="K1488" s="2350"/>
      <c r="L1488" s="2350"/>
      <c r="M1488" s="2281"/>
      <c r="P1488" s="2281"/>
    </row>
    <row r="1489" spans="1:16">
      <c r="A1489" s="2281"/>
      <c r="E1489" s="2281"/>
      <c r="I1489" s="2281"/>
      <c r="K1489" s="2350"/>
      <c r="L1489" s="2350"/>
      <c r="M1489" s="2281"/>
      <c r="P1489" s="2281"/>
    </row>
    <row r="1490" spans="1:16">
      <c r="A1490" s="2281"/>
      <c r="E1490" s="2281"/>
      <c r="I1490" s="2281"/>
      <c r="K1490" s="2350"/>
      <c r="L1490" s="2350"/>
      <c r="M1490" s="2281"/>
      <c r="P1490" s="2281"/>
    </row>
    <row r="1491" spans="1:16">
      <c r="A1491" s="2281"/>
      <c r="E1491" s="2281"/>
      <c r="I1491" s="2281"/>
      <c r="K1491" s="2350"/>
      <c r="L1491" s="2350"/>
      <c r="M1491" s="2281"/>
      <c r="P1491" s="2281"/>
    </row>
    <row r="1492" spans="1:16">
      <c r="A1492" s="2281"/>
      <c r="E1492" s="2281"/>
      <c r="I1492" s="2281"/>
      <c r="K1492" s="2350"/>
      <c r="L1492" s="2350"/>
      <c r="M1492" s="2281"/>
      <c r="P1492" s="2281"/>
    </row>
    <row r="1493" spans="1:16">
      <c r="A1493" s="2281"/>
      <c r="E1493" s="2281"/>
      <c r="I1493" s="2281"/>
      <c r="K1493" s="2350"/>
      <c r="L1493" s="2350"/>
      <c r="M1493" s="2281"/>
      <c r="P1493" s="2281"/>
    </row>
    <row r="1494" spans="1:16">
      <c r="A1494" s="2281"/>
      <c r="E1494" s="2281"/>
      <c r="I1494" s="2281"/>
      <c r="K1494" s="2350"/>
      <c r="L1494" s="2350"/>
      <c r="M1494" s="2281"/>
      <c r="P1494" s="2281"/>
    </row>
    <row r="1495" spans="1:16">
      <c r="A1495" s="2281"/>
      <c r="E1495" s="2281"/>
      <c r="I1495" s="2281"/>
      <c r="K1495" s="2350"/>
      <c r="L1495" s="2350"/>
      <c r="M1495" s="2281"/>
      <c r="P1495" s="2281"/>
    </row>
    <row r="1496" spans="1:16">
      <c r="A1496" s="2281"/>
      <c r="E1496" s="2281"/>
      <c r="I1496" s="2281"/>
      <c r="K1496" s="2350"/>
      <c r="L1496" s="2350"/>
      <c r="M1496" s="2281"/>
      <c r="P1496" s="2281"/>
    </row>
    <row r="1497" spans="1:16">
      <c r="A1497" s="2281"/>
      <c r="E1497" s="2281"/>
      <c r="I1497" s="2281"/>
      <c r="K1497" s="2350"/>
      <c r="L1497" s="2350"/>
      <c r="M1497" s="2281"/>
      <c r="P1497" s="2281"/>
    </row>
    <row r="1498" spans="1:16">
      <c r="A1498" s="2281"/>
      <c r="E1498" s="2281"/>
      <c r="I1498" s="2281"/>
      <c r="K1498" s="2350"/>
      <c r="L1498" s="2350"/>
      <c r="M1498" s="2281"/>
      <c r="P1498" s="2281"/>
    </row>
    <row r="1499" spans="1:16">
      <c r="A1499" s="2281"/>
      <c r="E1499" s="2281"/>
      <c r="I1499" s="2281"/>
      <c r="K1499" s="2350"/>
      <c r="L1499" s="2350"/>
      <c r="M1499" s="2281"/>
      <c r="P1499" s="2281"/>
    </row>
    <row r="1500" spans="1:16">
      <c r="A1500" s="2281"/>
      <c r="E1500" s="2281"/>
      <c r="I1500" s="2281"/>
      <c r="K1500" s="2350"/>
      <c r="L1500" s="2350"/>
      <c r="M1500" s="2281"/>
      <c r="P1500" s="2281"/>
    </row>
    <row r="1501" spans="1:16">
      <c r="A1501" s="2281"/>
      <c r="E1501" s="2281"/>
      <c r="I1501" s="2281"/>
      <c r="K1501" s="2350"/>
      <c r="L1501" s="2350"/>
      <c r="M1501" s="2281"/>
      <c r="P1501" s="2281"/>
    </row>
    <row r="1502" spans="1:16">
      <c r="A1502" s="2281"/>
      <c r="E1502" s="2281"/>
      <c r="I1502" s="2281"/>
      <c r="K1502" s="2350"/>
      <c r="L1502" s="2350"/>
      <c r="M1502" s="2281"/>
      <c r="P1502" s="2281"/>
    </row>
    <row r="1503" spans="1:16">
      <c r="A1503" s="2281"/>
      <c r="E1503" s="2281"/>
      <c r="I1503" s="2281"/>
      <c r="K1503" s="2350"/>
      <c r="L1503" s="2350"/>
      <c r="M1503" s="2281"/>
      <c r="P1503" s="2281"/>
    </row>
    <row r="1504" spans="1:16">
      <c r="A1504" s="2281"/>
      <c r="E1504" s="2281"/>
      <c r="I1504" s="2281"/>
      <c r="K1504" s="2350"/>
      <c r="L1504" s="2350"/>
      <c r="M1504" s="2281"/>
      <c r="P1504" s="2281"/>
    </row>
    <row r="1505" spans="1:16">
      <c r="A1505" s="2281"/>
      <c r="E1505" s="2281"/>
      <c r="I1505" s="2281"/>
      <c r="K1505" s="2350"/>
      <c r="L1505" s="2350"/>
      <c r="M1505" s="2281"/>
      <c r="P1505" s="2281"/>
    </row>
    <row r="1506" spans="1:16">
      <c r="A1506" s="2281"/>
      <c r="E1506" s="2281"/>
      <c r="I1506" s="2281"/>
      <c r="K1506" s="2350"/>
      <c r="L1506" s="2350"/>
      <c r="M1506" s="2281"/>
      <c r="P1506" s="2281"/>
    </row>
    <row r="1507" spans="1:16">
      <c r="A1507" s="2281"/>
      <c r="E1507" s="2281"/>
      <c r="I1507" s="2281"/>
      <c r="K1507" s="2350"/>
      <c r="L1507" s="2350"/>
      <c r="M1507" s="2281"/>
      <c r="P1507" s="2281"/>
    </row>
    <row r="1508" spans="1:16">
      <c r="A1508" s="2281"/>
      <c r="E1508" s="2281"/>
      <c r="I1508" s="2281"/>
      <c r="K1508" s="2350"/>
      <c r="L1508" s="2350"/>
      <c r="M1508" s="2281"/>
      <c r="P1508" s="2281"/>
    </row>
    <row r="1509" spans="1:16">
      <c r="A1509" s="2281"/>
      <c r="E1509" s="2281"/>
      <c r="I1509" s="2281"/>
      <c r="K1509" s="2350"/>
      <c r="L1509" s="2350"/>
      <c r="M1509" s="2281"/>
      <c r="P1509" s="2281"/>
    </row>
    <row r="1510" spans="1:16">
      <c r="A1510" s="2281"/>
      <c r="E1510" s="2281"/>
      <c r="I1510" s="2281"/>
      <c r="K1510" s="2350"/>
      <c r="L1510" s="2350"/>
      <c r="M1510" s="2281"/>
      <c r="P1510" s="2281"/>
    </row>
    <row r="1511" spans="1:16">
      <c r="A1511" s="2281"/>
      <c r="E1511" s="2281"/>
      <c r="I1511" s="2281"/>
      <c r="K1511" s="2350"/>
      <c r="L1511" s="2350"/>
      <c r="M1511" s="2281"/>
      <c r="P1511" s="2281"/>
    </row>
    <row r="1512" spans="1:16">
      <c r="A1512" s="2281"/>
      <c r="E1512" s="2281"/>
      <c r="I1512" s="2281"/>
      <c r="K1512" s="2350"/>
      <c r="L1512" s="2350"/>
      <c r="M1512" s="2281"/>
      <c r="P1512" s="2281"/>
    </row>
    <row r="1513" spans="1:16">
      <c r="A1513" s="2281"/>
      <c r="E1513" s="2281"/>
      <c r="I1513" s="2281"/>
      <c r="K1513" s="2350"/>
      <c r="L1513" s="2350"/>
      <c r="M1513" s="2281"/>
      <c r="P1513" s="2281"/>
    </row>
    <row r="1514" spans="1:16">
      <c r="A1514" s="2281"/>
      <c r="E1514" s="2281"/>
      <c r="I1514" s="2281"/>
      <c r="K1514" s="2350"/>
      <c r="L1514" s="2350"/>
      <c r="M1514" s="2281"/>
      <c r="P1514" s="2281"/>
    </row>
    <row r="1515" spans="1:16">
      <c r="A1515" s="2281"/>
      <c r="E1515" s="2281"/>
      <c r="I1515" s="2281"/>
      <c r="K1515" s="2350"/>
      <c r="L1515" s="2350"/>
      <c r="M1515" s="2281"/>
      <c r="P1515" s="2281"/>
    </row>
    <row r="1516" spans="1:16">
      <c r="A1516" s="2281"/>
      <c r="E1516" s="2281"/>
      <c r="I1516" s="2281"/>
      <c r="K1516" s="2350"/>
      <c r="L1516" s="2350"/>
      <c r="M1516" s="2281"/>
      <c r="P1516" s="2281"/>
    </row>
    <row r="1517" spans="1:16">
      <c r="A1517" s="2281"/>
      <c r="E1517" s="2281"/>
      <c r="I1517" s="2281"/>
      <c r="K1517" s="2350"/>
      <c r="L1517" s="2350"/>
      <c r="M1517" s="2281"/>
      <c r="P1517" s="2281"/>
    </row>
    <row r="1518" spans="1:16">
      <c r="A1518" s="2281"/>
      <c r="E1518" s="2281"/>
      <c r="I1518" s="2281"/>
      <c r="K1518" s="2350"/>
      <c r="L1518" s="2350"/>
      <c r="M1518" s="2281"/>
      <c r="P1518" s="2281"/>
    </row>
    <row r="1519" spans="1:16">
      <c r="A1519" s="2281"/>
      <c r="E1519" s="2281"/>
      <c r="I1519" s="2281"/>
      <c r="K1519" s="2350"/>
      <c r="L1519" s="2350"/>
      <c r="M1519" s="2281"/>
      <c r="P1519" s="2281"/>
    </row>
    <row r="1520" spans="1:16">
      <c r="A1520" s="2281"/>
      <c r="E1520" s="2281"/>
      <c r="I1520" s="2281"/>
      <c r="K1520" s="2350"/>
      <c r="L1520" s="2350"/>
      <c r="M1520" s="2281"/>
      <c r="P1520" s="2281"/>
    </row>
    <row r="1521" spans="1:16">
      <c r="A1521" s="2281"/>
      <c r="E1521" s="2281"/>
      <c r="I1521" s="2281"/>
      <c r="K1521" s="2350"/>
      <c r="L1521" s="2350"/>
      <c r="M1521" s="2281"/>
      <c r="P1521" s="2281"/>
    </row>
    <row r="1522" spans="1:16">
      <c r="A1522" s="2281"/>
      <c r="E1522" s="2281"/>
      <c r="I1522" s="2281"/>
      <c r="K1522" s="2350"/>
      <c r="L1522" s="2350"/>
      <c r="M1522" s="2281"/>
      <c r="P1522" s="2281"/>
    </row>
    <row r="1523" spans="1:16">
      <c r="A1523" s="2281"/>
      <c r="E1523" s="2281"/>
      <c r="I1523" s="2281"/>
      <c r="K1523" s="2350"/>
      <c r="L1523" s="2350"/>
      <c r="M1523" s="2281"/>
      <c r="P1523" s="2281"/>
    </row>
    <row r="1524" spans="1:16">
      <c r="A1524" s="2281"/>
      <c r="E1524" s="2281"/>
      <c r="I1524" s="2281"/>
      <c r="K1524" s="2350"/>
      <c r="L1524" s="2350"/>
      <c r="M1524" s="2281"/>
      <c r="P1524" s="2281"/>
    </row>
    <row r="1525" spans="1:16">
      <c r="A1525" s="2281"/>
      <c r="E1525" s="2281"/>
      <c r="I1525" s="2281"/>
      <c r="K1525" s="2350"/>
      <c r="L1525" s="2350"/>
      <c r="M1525" s="2281"/>
      <c r="P1525" s="2281"/>
    </row>
    <row r="1526" spans="1:16">
      <c r="A1526" s="2281"/>
      <c r="E1526" s="2281"/>
      <c r="I1526" s="2281"/>
      <c r="K1526" s="2350"/>
      <c r="L1526" s="2350"/>
      <c r="M1526" s="2281"/>
      <c r="P1526" s="2281"/>
    </row>
    <row r="1527" spans="1:16">
      <c r="A1527" s="2281"/>
      <c r="E1527" s="2281"/>
      <c r="I1527" s="2281"/>
      <c r="K1527" s="2350"/>
      <c r="L1527" s="2350"/>
      <c r="M1527" s="2281"/>
      <c r="P1527" s="2281"/>
    </row>
    <row r="1528" spans="1:16">
      <c r="A1528" s="2281"/>
      <c r="E1528" s="2281"/>
      <c r="I1528" s="2281"/>
      <c r="K1528" s="2350"/>
      <c r="L1528" s="2350"/>
      <c r="M1528" s="2281"/>
      <c r="P1528" s="2281"/>
    </row>
    <row r="1529" spans="1:16">
      <c r="A1529" s="2281"/>
      <c r="E1529" s="2281"/>
      <c r="I1529" s="2281"/>
      <c r="K1529" s="2350"/>
      <c r="L1529" s="2350"/>
      <c r="M1529" s="2281"/>
      <c r="P1529" s="2281"/>
    </row>
    <row r="1530" spans="1:16">
      <c r="A1530" s="2281"/>
      <c r="E1530" s="2281"/>
      <c r="I1530" s="2281"/>
      <c r="K1530" s="2350"/>
      <c r="L1530" s="2350"/>
      <c r="M1530" s="2281"/>
      <c r="P1530" s="2281"/>
    </row>
    <row r="1531" spans="1:16">
      <c r="A1531" s="2281"/>
      <c r="E1531" s="2281"/>
      <c r="I1531" s="2281"/>
      <c r="K1531" s="2350"/>
      <c r="L1531" s="2350"/>
      <c r="M1531" s="2281"/>
      <c r="P1531" s="2281"/>
    </row>
    <row r="1532" spans="1:16">
      <c r="A1532" s="2281"/>
      <c r="E1532" s="2281"/>
      <c r="I1532" s="2281"/>
      <c r="K1532" s="2350"/>
      <c r="L1532" s="2350"/>
      <c r="M1532" s="2281"/>
      <c r="P1532" s="2281"/>
    </row>
    <row r="1533" spans="1:16">
      <c r="A1533" s="2281"/>
      <c r="E1533" s="2281"/>
      <c r="I1533" s="2281"/>
      <c r="K1533" s="2350"/>
      <c r="L1533" s="2350"/>
      <c r="M1533" s="2281"/>
      <c r="P1533" s="2281"/>
    </row>
    <row r="1534" spans="1:16">
      <c r="A1534" s="2281"/>
      <c r="E1534" s="2281"/>
      <c r="I1534" s="2281"/>
      <c r="K1534" s="2350"/>
      <c r="L1534" s="2350"/>
      <c r="M1534" s="2281"/>
      <c r="P1534" s="2281"/>
    </row>
    <row r="1535" spans="1:16">
      <c r="A1535" s="2281"/>
      <c r="E1535" s="2281"/>
      <c r="I1535" s="2281"/>
      <c r="K1535" s="2350"/>
      <c r="L1535" s="2350"/>
      <c r="M1535" s="2281"/>
      <c r="P1535" s="2281"/>
    </row>
    <row r="1536" spans="1:16">
      <c r="A1536" s="2281"/>
      <c r="E1536" s="2281"/>
      <c r="I1536" s="2281"/>
      <c r="K1536" s="2350"/>
      <c r="L1536" s="2350"/>
      <c r="M1536" s="2281"/>
      <c r="P1536" s="2281"/>
    </row>
    <row r="1537" spans="1:16">
      <c r="A1537" s="2281"/>
      <c r="E1537" s="2281"/>
      <c r="I1537" s="2281"/>
      <c r="K1537" s="2350"/>
      <c r="L1537" s="2350"/>
      <c r="M1537" s="2281"/>
      <c r="P1537" s="2281"/>
    </row>
    <row r="1538" spans="1:16">
      <c r="A1538" s="2281"/>
      <c r="E1538" s="2281"/>
      <c r="I1538" s="2281"/>
      <c r="K1538" s="2350"/>
      <c r="L1538" s="2350"/>
      <c r="M1538" s="2281"/>
      <c r="P1538" s="2281"/>
    </row>
    <row r="1539" spans="1:16">
      <c r="A1539" s="2281"/>
      <c r="E1539" s="2281"/>
      <c r="I1539" s="2281"/>
      <c r="K1539" s="2350"/>
      <c r="L1539" s="2350"/>
      <c r="M1539" s="2281"/>
      <c r="P1539" s="2281"/>
    </row>
    <row r="1540" spans="1:16">
      <c r="A1540" s="2281"/>
      <c r="E1540" s="2281"/>
      <c r="I1540" s="2281"/>
      <c r="K1540" s="2350"/>
      <c r="L1540" s="2350"/>
      <c r="M1540" s="2281"/>
      <c r="P1540" s="2281"/>
    </row>
    <row r="1541" spans="1:16">
      <c r="A1541" s="2281"/>
      <c r="E1541" s="2281"/>
      <c r="I1541" s="2281"/>
      <c r="K1541" s="2350"/>
      <c r="L1541" s="2350"/>
      <c r="M1541" s="2281"/>
      <c r="P1541" s="2281"/>
    </row>
    <row r="1542" spans="1:16">
      <c r="A1542" s="2281"/>
      <c r="E1542" s="2281"/>
      <c r="I1542" s="2281"/>
      <c r="K1542" s="2350"/>
      <c r="L1542" s="2350"/>
      <c r="M1542" s="2281"/>
      <c r="P1542" s="2281"/>
    </row>
    <row r="1543" spans="1:16">
      <c r="A1543" s="2281"/>
      <c r="E1543" s="2281"/>
      <c r="I1543" s="2281"/>
      <c r="K1543" s="2350"/>
      <c r="L1543" s="2350"/>
      <c r="M1543" s="2281"/>
      <c r="P1543" s="2281"/>
    </row>
    <row r="1544" spans="1:16">
      <c r="A1544" s="2281"/>
      <c r="E1544" s="2281"/>
      <c r="I1544" s="2281"/>
      <c r="K1544" s="2350"/>
      <c r="L1544" s="2350"/>
      <c r="M1544" s="2281"/>
      <c r="P1544" s="2281"/>
    </row>
    <row r="1545" spans="1:16">
      <c r="A1545" s="2281"/>
      <c r="E1545" s="2281"/>
      <c r="I1545" s="2281"/>
      <c r="K1545" s="2350"/>
      <c r="L1545" s="2350"/>
      <c r="M1545" s="2281"/>
      <c r="P1545" s="2281"/>
    </row>
    <row r="1546" spans="1:16">
      <c r="A1546" s="2281"/>
      <c r="E1546" s="2281"/>
      <c r="I1546" s="2281"/>
      <c r="K1546" s="2350"/>
      <c r="L1546" s="2350"/>
      <c r="M1546" s="2281"/>
      <c r="P1546" s="2281"/>
    </row>
    <row r="1547" spans="1:16">
      <c r="A1547" s="2281"/>
      <c r="E1547" s="2281"/>
      <c r="I1547" s="2281"/>
      <c r="K1547" s="2350"/>
      <c r="L1547" s="2350"/>
      <c r="M1547" s="2281"/>
      <c r="P1547" s="2281"/>
    </row>
    <row r="1548" spans="1:16">
      <c r="A1548" s="2281"/>
      <c r="E1548" s="2281"/>
      <c r="I1548" s="2281"/>
      <c r="K1548" s="2350"/>
      <c r="L1548" s="2350"/>
      <c r="M1548" s="2281"/>
      <c r="P1548" s="2281"/>
    </row>
    <row r="1549" spans="1:16">
      <c r="A1549" s="2281"/>
      <c r="E1549" s="2281"/>
      <c r="I1549" s="2281"/>
      <c r="K1549" s="2350"/>
      <c r="L1549" s="2350"/>
      <c r="M1549" s="2281"/>
      <c r="P1549" s="2281"/>
    </row>
    <row r="1550" spans="1:16">
      <c r="A1550" s="2281"/>
      <c r="E1550" s="2281"/>
      <c r="I1550" s="2281"/>
      <c r="K1550" s="2350"/>
      <c r="L1550" s="2350"/>
      <c r="M1550" s="2281"/>
      <c r="P1550" s="2281"/>
    </row>
    <row r="1551" spans="1:16">
      <c r="A1551" s="2281"/>
      <c r="E1551" s="2281"/>
      <c r="I1551" s="2281"/>
      <c r="K1551" s="2350"/>
      <c r="L1551" s="2350"/>
      <c r="M1551" s="2281"/>
      <c r="P1551" s="2281"/>
    </row>
    <row r="1552" spans="1:16">
      <c r="A1552" s="2281"/>
      <c r="E1552" s="2281"/>
      <c r="I1552" s="2281"/>
      <c r="K1552" s="2350"/>
      <c r="L1552" s="2350"/>
      <c r="M1552" s="2281"/>
      <c r="P1552" s="2281"/>
    </row>
    <row r="1553" spans="1:16">
      <c r="A1553" s="2281"/>
      <c r="E1553" s="2281"/>
      <c r="I1553" s="2281"/>
      <c r="K1553" s="2350"/>
      <c r="L1553" s="2350"/>
      <c r="M1553" s="2281"/>
      <c r="P1553" s="2281"/>
    </row>
    <row r="1554" spans="1:16">
      <c r="A1554" s="2281"/>
      <c r="E1554" s="2281"/>
      <c r="I1554" s="2281"/>
      <c r="K1554" s="2350"/>
      <c r="L1554" s="2350"/>
      <c r="M1554" s="2281"/>
      <c r="P1554" s="2281"/>
    </row>
    <row r="1555" spans="1:16">
      <c r="A1555" s="2281"/>
      <c r="E1555" s="2281"/>
      <c r="I1555" s="2281"/>
      <c r="K1555" s="2350"/>
      <c r="L1555" s="2350"/>
      <c r="M1555" s="2281"/>
      <c r="P1555" s="2281"/>
    </row>
    <row r="1556" spans="1:16">
      <c r="A1556" s="2281"/>
      <c r="E1556" s="2281"/>
      <c r="I1556" s="2281"/>
      <c r="K1556" s="2350"/>
      <c r="L1556" s="2350"/>
      <c r="M1556" s="2281"/>
      <c r="P1556" s="2281"/>
    </row>
    <row r="1557" spans="1:16">
      <c r="A1557" s="2281"/>
      <c r="E1557" s="2281"/>
      <c r="I1557" s="2281"/>
      <c r="K1557" s="2350"/>
      <c r="L1557" s="2350"/>
      <c r="M1557" s="2281"/>
      <c r="P1557" s="2281"/>
    </row>
    <row r="1558" spans="1:16">
      <c r="A1558" s="2281"/>
      <c r="E1558" s="2281"/>
      <c r="I1558" s="2281"/>
      <c r="K1558" s="2350"/>
      <c r="L1558" s="2350"/>
      <c r="M1558" s="2281"/>
      <c r="P1558" s="2281"/>
    </row>
    <row r="1559" spans="1:16">
      <c r="A1559" s="2281"/>
      <c r="E1559" s="2281"/>
      <c r="I1559" s="2281"/>
      <c r="K1559" s="2350"/>
      <c r="L1559" s="2350"/>
      <c r="M1559" s="2281"/>
      <c r="P1559" s="2281"/>
    </row>
    <row r="1560" spans="1:16">
      <c r="A1560" s="2281"/>
      <c r="E1560" s="2281"/>
      <c r="I1560" s="2281"/>
      <c r="K1560" s="2350"/>
      <c r="L1560" s="2350"/>
      <c r="M1560" s="2281"/>
      <c r="P1560" s="2281"/>
    </row>
    <row r="1561" spans="1:16">
      <c r="A1561" s="2281"/>
      <c r="E1561" s="2281"/>
      <c r="I1561" s="2281"/>
      <c r="K1561" s="2350"/>
      <c r="L1561" s="2350"/>
      <c r="M1561" s="2281"/>
      <c r="P1561" s="2281"/>
    </row>
    <row r="1562" spans="1:16">
      <c r="A1562" s="2281"/>
      <c r="E1562" s="2281"/>
      <c r="I1562" s="2281"/>
      <c r="K1562" s="2350"/>
      <c r="L1562" s="2350"/>
      <c r="M1562" s="2281"/>
      <c r="P1562" s="2281"/>
    </row>
    <row r="1563" spans="1:16">
      <c r="A1563" s="2281"/>
      <c r="E1563" s="2281"/>
      <c r="I1563" s="2281"/>
      <c r="K1563" s="2350"/>
      <c r="L1563" s="2350"/>
      <c r="M1563" s="2281"/>
      <c r="P1563" s="2281"/>
    </row>
    <row r="1564" spans="1:16">
      <c r="A1564" s="2281"/>
      <c r="E1564" s="2281"/>
      <c r="I1564" s="2281"/>
      <c r="K1564" s="2350"/>
      <c r="L1564" s="2350"/>
      <c r="M1564" s="2281"/>
      <c r="P1564" s="2281"/>
    </row>
    <row r="1565" spans="1:16">
      <c r="A1565" s="2281"/>
      <c r="E1565" s="2281"/>
      <c r="I1565" s="2281"/>
      <c r="K1565" s="2350"/>
      <c r="L1565" s="2350"/>
      <c r="M1565" s="2281"/>
      <c r="P1565" s="2281"/>
    </row>
    <row r="1566" spans="1:16">
      <c r="A1566" s="2281"/>
      <c r="E1566" s="2281"/>
      <c r="I1566" s="2281"/>
      <c r="K1566" s="2350"/>
      <c r="L1566" s="2350"/>
      <c r="M1566" s="2281"/>
      <c r="P1566" s="2281"/>
    </row>
    <row r="1567" spans="1:16">
      <c r="A1567" s="2281"/>
      <c r="E1567" s="2281"/>
      <c r="I1567" s="2281"/>
      <c r="K1567" s="2350"/>
      <c r="L1567" s="2350"/>
      <c r="M1567" s="2281"/>
      <c r="P1567" s="2281"/>
    </row>
    <row r="1568" spans="1:16">
      <c r="A1568" s="2281"/>
      <c r="E1568" s="2281"/>
      <c r="I1568" s="2281"/>
      <c r="K1568" s="2350"/>
      <c r="L1568" s="2350"/>
      <c r="M1568" s="2281"/>
      <c r="P1568" s="2281"/>
    </row>
    <row r="1569" spans="1:16">
      <c r="A1569" s="2281"/>
      <c r="E1569" s="2281"/>
      <c r="I1569" s="2281"/>
      <c r="K1569" s="2350"/>
      <c r="L1569" s="2350"/>
      <c r="M1569" s="2281"/>
      <c r="P1569" s="2281"/>
    </row>
    <row r="1570" spans="1:16">
      <c r="A1570" s="2281"/>
      <c r="E1570" s="2281"/>
      <c r="I1570" s="2281"/>
      <c r="K1570" s="2350"/>
      <c r="L1570" s="2350"/>
      <c r="M1570" s="2281"/>
      <c r="P1570" s="2281"/>
    </row>
    <row r="1571" spans="1:16">
      <c r="A1571" s="2281"/>
      <c r="E1571" s="2281"/>
      <c r="I1571" s="2281"/>
      <c r="K1571" s="2350"/>
      <c r="L1571" s="2350"/>
      <c r="M1571" s="2281"/>
      <c r="P1571" s="2281"/>
    </row>
    <row r="1572" spans="1:16">
      <c r="A1572" s="2281"/>
      <c r="E1572" s="2281"/>
      <c r="I1572" s="2281"/>
      <c r="K1572" s="2350"/>
      <c r="L1572" s="2350"/>
      <c r="M1572" s="2281"/>
      <c r="P1572" s="2281"/>
    </row>
    <row r="1573" spans="1:16">
      <c r="A1573" s="2281"/>
      <c r="E1573" s="2281"/>
      <c r="I1573" s="2281"/>
      <c r="K1573" s="2350"/>
      <c r="L1573" s="2350"/>
      <c r="M1573" s="2281"/>
      <c r="P1573" s="2281"/>
    </row>
    <row r="1574" spans="1:16">
      <c r="A1574" s="2281"/>
      <c r="E1574" s="2281"/>
      <c r="I1574" s="2281"/>
      <c r="K1574" s="2350"/>
      <c r="L1574" s="2350"/>
      <c r="M1574" s="2281"/>
      <c r="P1574" s="2281"/>
    </row>
    <row r="1575" spans="1:16">
      <c r="A1575" s="2281"/>
      <c r="E1575" s="2281"/>
      <c r="I1575" s="2281"/>
      <c r="K1575" s="2350"/>
      <c r="L1575" s="2350"/>
      <c r="M1575" s="2281"/>
      <c r="P1575" s="2281"/>
    </row>
    <row r="1576" spans="1:16">
      <c r="A1576" s="2281"/>
      <c r="E1576" s="2281"/>
      <c r="I1576" s="2281"/>
      <c r="K1576" s="2350"/>
      <c r="L1576" s="2350"/>
      <c r="M1576" s="2281"/>
      <c r="P1576" s="2281"/>
    </row>
    <row r="1577" spans="1:16">
      <c r="A1577" s="2281"/>
      <c r="E1577" s="2281"/>
      <c r="I1577" s="2281"/>
      <c r="K1577" s="2350"/>
      <c r="L1577" s="2350"/>
      <c r="M1577" s="2281"/>
      <c r="P1577" s="2281"/>
    </row>
    <row r="1578" spans="1:16">
      <c r="A1578" s="2281"/>
      <c r="E1578" s="2281"/>
      <c r="I1578" s="2281"/>
      <c r="K1578" s="2350"/>
      <c r="L1578" s="2350"/>
      <c r="M1578" s="2281"/>
      <c r="P1578" s="2281"/>
    </row>
    <row r="1579" spans="1:16">
      <c r="A1579" s="2281"/>
      <c r="E1579" s="2281"/>
      <c r="I1579" s="2281"/>
      <c r="K1579" s="2350"/>
      <c r="L1579" s="2350"/>
      <c r="M1579" s="2281"/>
      <c r="P1579" s="2281"/>
    </row>
    <row r="1580" spans="1:16">
      <c r="A1580" s="2281"/>
      <c r="E1580" s="2281"/>
      <c r="I1580" s="2281"/>
      <c r="K1580" s="2350"/>
      <c r="L1580" s="2350"/>
      <c r="M1580" s="2281"/>
      <c r="P1580" s="2281"/>
    </row>
    <row r="1581" spans="1:16">
      <c r="A1581" s="2281"/>
      <c r="E1581" s="2281"/>
      <c r="I1581" s="2281"/>
      <c r="K1581" s="2350"/>
      <c r="L1581" s="2350"/>
      <c r="M1581" s="2281"/>
      <c r="P1581" s="2281"/>
    </row>
    <row r="1582" spans="1:16">
      <c r="A1582" s="2281"/>
      <c r="E1582" s="2281"/>
      <c r="I1582" s="2281"/>
      <c r="K1582" s="2350"/>
      <c r="L1582" s="2350"/>
      <c r="M1582" s="2281"/>
      <c r="P1582" s="2281"/>
    </row>
    <row r="1583" spans="1:16">
      <c r="A1583" s="2281"/>
      <c r="E1583" s="2281"/>
      <c r="I1583" s="2281"/>
      <c r="K1583" s="2350"/>
      <c r="L1583" s="2350"/>
      <c r="M1583" s="2281"/>
      <c r="P1583" s="2281"/>
    </row>
    <row r="1584" spans="1:16">
      <c r="A1584" s="2281"/>
      <c r="E1584" s="2281"/>
      <c r="I1584" s="2281"/>
      <c r="K1584" s="2350"/>
      <c r="L1584" s="2350"/>
      <c r="M1584" s="2281"/>
      <c r="P1584" s="2281"/>
    </row>
    <row r="1585" spans="1:16">
      <c r="A1585" s="2281"/>
      <c r="E1585" s="2281"/>
      <c r="I1585" s="2281"/>
      <c r="K1585" s="2350"/>
      <c r="L1585" s="2350"/>
      <c r="M1585" s="2281"/>
      <c r="P1585" s="2281"/>
    </row>
    <row r="1586" spans="1:16">
      <c r="A1586" s="2281"/>
      <c r="E1586" s="2281"/>
      <c r="I1586" s="2281"/>
      <c r="K1586" s="2350"/>
      <c r="L1586" s="2350"/>
      <c r="M1586" s="2281"/>
      <c r="P1586" s="2281"/>
    </row>
    <row r="1587" spans="1:16">
      <c r="A1587" s="2281"/>
      <c r="E1587" s="2281"/>
      <c r="I1587" s="2281"/>
      <c r="K1587" s="2350"/>
      <c r="L1587" s="2350"/>
      <c r="M1587" s="2281"/>
      <c r="P1587" s="2281"/>
    </row>
    <row r="1588" spans="1:16">
      <c r="A1588" s="2281"/>
      <c r="E1588" s="2281"/>
      <c r="I1588" s="2281"/>
      <c r="K1588" s="2350"/>
      <c r="L1588" s="2350"/>
      <c r="M1588" s="2281"/>
      <c r="P1588" s="2281"/>
    </row>
    <row r="1589" spans="1:16">
      <c r="A1589" s="2281"/>
      <c r="E1589" s="2281"/>
      <c r="I1589" s="2281"/>
      <c r="K1589" s="2350"/>
      <c r="L1589" s="2350"/>
      <c r="M1589" s="2281"/>
      <c r="P1589" s="2281"/>
    </row>
    <row r="1590" spans="1:16">
      <c r="A1590" s="2281"/>
      <c r="E1590" s="2281"/>
      <c r="I1590" s="2281"/>
      <c r="K1590" s="2350"/>
      <c r="L1590" s="2350"/>
      <c r="M1590" s="2281"/>
      <c r="P1590" s="2281"/>
    </row>
    <row r="1591" spans="1:16">
      <c r="A1591" s="2281"/>
      <c r="E1591" s="2281"/>
      <c r="I1591" s="2281"/>
      <c r="K1591" s="2350"/>
      <c r="L1591" s="2350"/>
      <c r="M1591" s="2281"/>
      <c r="P1591" s="2281"/>
    </row>
    <row r="1592" spans="1:16">
      <c r="A1592" s="2281"/>
      <c r="E1592" s="2281"/>
      <c r="I1592" s="2281"/>
      <c r="K1592" s="2350"/>
      <c r="L1592" s="2350"/>
      <c r="M1592" s="2281"/>
      <c r="P1592" s="2281"/>
    </row>
    <row r="1593" spans="1:16">
      <c r="A1593" s="2281"/>
      <c r="E1593" s="2281"/>
      <c r="I1593" s="2281"/>
      <c r="K1593" s="2350"/>
      <c r="L1593" s="2350"/>
      <c r="M1593" s="2281"/>
      <c r="P1593" s="2281"/>
    </row>
    <row r="1594" spans="1:16">
      <c r="A1594" s="2281"/>
      <c r="E1594" s="2281"/>
      <c r="I1594" s="2281"/>
      <c r="K1594" s="2350"/>
      <c r="L1594" s="2350"/>
      <c r="M1594" s="2281"/>
      <c r="P1594" s="2281"/>
    </row>
    <row r="1595" spans="1:16">
      <c r="A1595" s="2281"/>
      <c r="E1595" s="2281"/>
      <c r="I1595" s="2281"/>
      <c r="K1595" s="2350"/>
      <c r="L1595" s="2350"/>
      <c r="M1595" s="2281"/>
      <c r="P1595" s="2281"/>
    </row>
    <row r="1596" spans="1:16">
      <c r="A1596" s="2281"/>
      <c r="E1596" s="2281"/>
      <c r="I1596" s="2281"/>
      <c r="K1596" s="2350"/>
      <c r="L1596" s="2350"/>
      <c r="M1596" s="2281"/>
      <c r="P1596" s="2281"/>
    </row>
    <row r="1597" spans="1:16">
      <c r="A1597" s="2281"/>
      <c r="E1597" s="2281"/>
      <c r="I1597" s="2281"/>
      <c r="K1597" s="2350"/>
      <c r="L1597" s="2350"/>
      <c r="M1597" s="2281"/>
      <c r="P1597" s="2281"/>
    </row>
    <row r="1598" spans="1:16">
      <c r="A1598" s="2281"/>
      <c r="E1598" s="2281"/>
      <c r="I1598" s="2281"/>
      <c r="K1598" s="2350"/>
      <c r="L1598" s="2350"/>
      <c r="M1598" s="2281"/>
      <c r="P1598" s="2281"/>
    </row>
    <row r="1599" spans="1:16">
      <c r="A1599" s="2281"/>
      <c r="E1599" s="2281"/>
      <c r="I1599" s="2281"/>
      <c r="K1599" s="2350"/>
      <c r="L1599" s="2350"/>
      <c r="M1599" s="2281"/>
      <c r="P1599" s="2281"/>
    </row>
    <row r="1600" spans="1:16">
      <c r="A1600" s="2281"/>
      <c r="E1600" s="2281"/>
      <c r="I1600" s="2281"/>
      <c r="K1600" s="2350"/>
      <c r="L1600" s="2350"/>
      <c r="M1600" s="2281"/>
      <c r="P1600" s="2281"/>
    </row>
    <row r="1601" spans="1:16">
      <c r="A1601" s="2281"/>
      <c r="E1601" s="2281"/>
      <c r="I1601" s="2281"/>
      <c r="K1601" s="2350"/>
      <c r="L1601" s="2350"/>
      <c r="M1601" s="2281"/>
      <c r="P1601" s="2281"/>
    </row>
    <row r="1602" spans="1:16">
      <c r="A1602" s="2281"/>
      <c r="E1602" s="2281"/>
      <c r="I1602" s="2281"/>
      <c r="K1602" s="2350"/>
      <c r="L1602" s="2350"/>
      <c r="M1602" s="2281"/>
      <c r="P1602" s="2281"/>
    </row>
    <row r="1603" spans="1:16">
      <c r="A1603" s="2281"/>
      <c r="E1603" s="2281"/>
      <c r="I1603" s="2281"/>
      <c r="K1603" s="2350"/>
      <c r="L1603" s="2350"/>
      <c r="M1603" s="2281"/>
      <c r="P1603" s="2281"/>
    </row>
    <row r="1604" spans="1:16">
      <c r="A1604" s="2281"/>
      <c r="E1604" s="2281"/>
      <c r="I1604" s="2281"/>
      <c r="K1604" s="2350"/>
      <c r="L1604" s="2350"/>
      <c r="M1604" s="2281"/>
      <c r="P1604" s="2281"/>
    </row>
    <row r="1605" spans="1:16">
      <c r="A1605" s="2281"/>
      <c r="E1605" s="2281"/>
      <c r="I1605" s="2281"/>
      <c r="K1605" s="2350"/>
      <c r="L1605" s="2350"/>
      <c r="M1605" s="2281"/>
      <c r="P1605" s="2281"/>
    </row>
    <row r="1606" spans="1:16">
      <c r="A1606" s="2281"/>
      <c r="E1606" s="2281"/>
      <c r="I1606" s="2281"/>
      <c r="K1606" s="2350"/>
      <c r="L1606" s="2350"/>
      <c r="M1606" s="2281"/>
      <c r="P1606" s="2281"/>
    </row>
    <row r="1607" spans="1:16">
      <c r="A1607" s="2281"/>
      <c r="E1607" s="2281"/>
      <c r="I1607" s="2281"/>
      <c r="K1607" s="2350"/>
      <c r="L1607" s="2350"/>
      <c r="M1607" s="2281"/>
      <c r="P1607" s="2281"/>
    </row>
    <row r="1608" spans="1:16">
      <c r="A1608" s="2281"/>
      <c r="E1608" s="2281"/>
      <c r="I1608" s="2281"/>
      <c r="K1608" s="2350"/>
      <c r="L1608" s="2350"/>
      <c r="M1608" s="2281"/>
      <c r="P1608" s="2281"/>
    </row>
    <row r="1609" spans="1:16">
      <c r="A1609" s="2281"/>
      <c r="E1609" s="2281"/>
      <c r="I1609" s="2281"/>
      <c r="K1609" s="2350"/>
      <c r="L1609" s="2350"/>
      <c r="M1609" s="2281"/>
      <c r="P1609" s="2281"/>
    </row>
    <row r="1610" spans="1:16">
      <c r="A1610" s="2281"/>
      <c r="E1610" s="2281"/>
      <c r="I1610" s="2281"/>
      <c r="K1610" s="2350"/>
      <c r="L1610" s="2350"/>
      <c r="M1610" s="2281"/>
      <c r="P1610" s="2281"/>
    </row>
    <row r="1611" spans="1:16">
      <c r="A1611" s="2281"/>
      <c r="E1611" s="2281"/>
      <c r="I1611" s="2281"/>
      <c r="K1611" s="2350"/>
      <c r="L1611" s="2350"/>
      <c r="M1611" s="2281"/>
      <c r="P1611" s="2281"/>
    </row>
    <row r="1612" spans="1:16">
      <c r="A1612" s="2281"/>
      <c r="E1612" s="2281"/>
      <c r="I1612" s="2281"/>
      <c r="K1612" s="2350"/>
      <c r="L1612" s="2350"/>
      <c r="M1612" s="2281"/>
      <c r="P1612" s="2281"/>
    </row>
    <row r="1613" spans="1:16">
      <c r="A1613" s="2281"/>
      <c r="E1613" s="2281"/>
      <c r="I1613" s="2281"/>
      <c r="K1613" s="2350"/>
      <c r="L1613" s="2350"/>
      <c r="M1613" s="2281"/>
      <c r="P1613" s="2281"/>
    </row>
    <row r="1614" spans="1:16">
      <c r="A1614" s="2281"/>
      <c r="E1614" s="2281"/>
      <c r="I1614" s="2281"/>
      <c r="K1614" s="2350"/>
      <c r="L1614" s="2350"/>
      <c r="M1614" s="2281"/>
      <c r="P1614" s="2281"/>
    </row>
    <row r="1615" spans="1:16">
      <c r="A1615" s="2281"/>
      <c r="E1615" s="2281"/>
      <c r="I1615" s="2281"/>
      <c r="K1615" s="2350"/>
      <c r="L1615" s="2350"/>
      <c r="M1615" s="2281"/>
      <c r="P1615" s="2281"/>
    </row>
    <row r="1616" spans="1:16">
      <c r="A1616" s="2281"/>
      <c r="E1616" s="2281"/>
      <c r="I1616" s="2281"/>
      <c r="K1616" s="2350"/>
      <c r="L1616" s="2350"/>
      <c r="M1616" s="2281"/>
      <c r="P1616" s="2281"/>
    </row>
    <row r="1617" spans="1:16">
      <c r="A1617" s="2281"/>
      <c r="E1617" s="2281"/>
      <c r="I1617" s="2281"/>
      <c r="K1617" s="2350"/>
      <c r="L1617" s="2350"/>
      <c r="M1617" s="2281"/>
      <c r="P1617" s="2281"/>
    </row>
    <row r="1618" spans="1:16">
      <c r="A1618" s="2281"/>
      <c r="E1618" s="2281"/>
      <c r="I1618" s="2281"/>
      <c r="K1618" s="2350"/>
      <c r="L1618" s="2350"/>
      <c r="M1618" s="2281"/>
      <c r="P1618" s="2281"/>
    </row>
    <row r="1619" spans="1:16">
      <c r="A1619" s="2281"/>
      <c r="E1619" s="2281"/>
      <c r="I1619" s="2281"/>
      <c r="K1619" s="2350"/>
      <c r="L1619" s="2350"/>
      <c r="M1619" s="2281"/>
      <c r="P1619" s="2281"/>
    </row>
    <row r="1620" spans="1:16">
      <c r="A1620" s="2281"/>
      <c r="E1620" s="2281"/>
      <c r="I1620" s="2281"/>
      <c r="K1620" s="2350"/>
      <c r="L1620" s="2350"/>
      <c r="M1620" s="2281"/>
      <c r="P1620" s="2281"/>
    </row>
    <row r="1621" spans="1:16">
      <c r="A1621" s="2281"/>
      <c r="E1621" s="2281"/>
      <c r="I1621" s="2281"/>
      <c r="K1621" s="2350"/>
      <c r="L1621" s="2350"/>
      <c r="M1621" s="2281"/>
      <c r="P1621" s="2281"/>
    </row>
    <row r="1622" spans="1:16">
      <c r="A1622" s="2281"/>
      <c r="E1622" s="2281"/>
      <c r="I1622" s="2281"/>
      <c r="K1622" s="2350"/>
      <c r="L1622" s="2350"/>
      <c r="M1622" s="2281"/>
      <c r="P1622" s="2281"/>
    </row>
    <row r="1623" spans="1:16">
      <c r="A1623" s="2281"/>
      <c r="E1623" s="2281"/>
      <c r="I1623" s="2281"/>
      <c r="K1623" s="2350"/>
      <c r="L1623" s="2350"/>
      <c r="M1623" s="2281"/>
      <c r="P1623" s="2281"/>
    </row>
    <row r="1624" spans="1:16">
      <c r="A1624" s="2281"/>
      <c r="E1624" s="2281"/>
      <c r="I1624" s="2281"/>
      <c r="K1624" s="2350"/>
      <c r="L1624" s="2350"/>
      <c r="M1624" s="2281"/>
      <c r="P1624" s="2281"/>
    </row>
    <row r="1625" spans="1:16">
      <c r="A1625" s="2281"/>
      <c r="E1625" s="2281"/>
      <c r="I1625" s="2281"/>
      <c r="K1625" s="2350"/>
      <c r="L1625" s="2350"/>
      <c r="M1625" s="2281"/>
      <c r="P1625" s="2281"/>
    </row>
    <row r="1626" spans="1:16">
      <c r="A1626" s="2281"/>
      <c r="E1626" s="2281"/>
      <c r="I1626" s="2281"/>
      <c r="K1626" s="2350"/>
      <c r="L1626" s="2350"/>
      <c r="M1626" s="2281"/>
      <c r="P1626" s="2281"/>
    </row>
    <row r="1627" spans="1:16">
      <c r="A1627" s="2281"/>
      <c r="E1627" s="2281"/>
      <c r="I1627" s="2281"/>
      <c r="K1627" s="2350"/>
      <c r="L1627" s="2350"/>
      <c r="M1627" s="2281"/>
      <c r="P1627" s="2281"/>
    </row>
    <row r="1628" spans="1:16">
      <c r="A1628" s="2281"/>
      <c r="E1628" s="2281"/>
      <c r="I1628" s="2281"/>
      <c r="K1628" s="2350"/>
      <c r="L1628" s="2350"/>
      <c r="M1628" s="2281"/>
      <c r="P1628" s="2281"/>
    </row>
    <row r="1629" spans="1:16">
      <c r="A1629" s="2281"/>
      <c r="E1629" s="2281"/>
      <c r="I1629" s="2281"/>
      <c r="K1629" s="2350"/>
      <c r="L1629" s="2350"/>
      <c r="M1629" s="2281"/>
      <c r="P1629" s="2281"/>
    </row>
    <row r="1630" spans="1:16">
      <c r="A1630" s="2281"/>
      <c r="E1630" s="2281"/>
      <c r="I1630" s="2281"/>
      <c r="K1630" s="2350"/>
      <c r="L1630" s="2350"/>
      <c r="M1630" s="2281"/>
      <c r="P1630" s="2281"/>
    </row>
    <row r="1631" spans="1:16">
      <c r="A1631" s="2281"/>
      <c r="E1631" s="2281"/>
      <c r="I1631" s="2281"/>
      <c r="K1631" s="2350"/>
      <c r="L1631" s="2350"/>
      <c r="M1631" s="2281"/>
      <c r="P1631" s="2281"/>
    </row>
    <row r="1632" spans="1:16">
      <c r="A1632" s="2281"/>
      <c r="E1632" s="2281"/>
      <c r="I1632" s="2281"/>
      <c r="K1632" s="2350"/>
      <c r="L1632" s="2350"/>
      <c r="M1632" s="2281"/>
      <c r="P1632" s="2281"/>
    </row>
    <row r="1633" spans="1:16">
      <c r="A1633" s="2281"/>
      <c r="E1633" s="2281"/>
      <c r="I1633" s="2281"/>
      <c r="K1633" s="2350"/>
      <c r="L1633" s="2350"/>
      <c r="M1633" s="2281"/>
      <c r="P1633" s="2281"/>
    </row>
    <row r="1634" spans="1:16">
      <c r="A1634" s="2281"/>
      <c r="E1634" s="2281"/>
      <c r="I1634" s="2281"/>
      <c r="K1634" s="2350"/>
      <c r="L1634" s="2350"/>
      <c r="M1634" s="2281"/>
      <c r="P1634" s="2281"/>
    </row>
    <row r="1635" spans="1:16">
      <c r="A1635" s="2281"/>
      <c r="E1635" s="2281"/>
      <c r="I1635" s="2281"/>
      <c r="K1635" s="2350"/>
      <c r="L1635" s="2350"/>
      <c r="M1635" s="2281"/>
      <c r="P1635" s="2281"/>
    </row>
    <row r="1636" spans="1:16">
      <c r="A1636" s="2281"/>
      <c r="E1636" s="2281"/>
      <c r="I1636" s="2281"/>
      <c r="K1636" s="2350"/>
      <c r="L1636" s="2350"/>
      <c r="M1636" s="2281"/>
      <c r="P1636" s="2281"/>
    </row>
    <row r="1637" spans="1:16">
      <c r="A1637" s="2281"/>
      <c r="E1637" s="2281"/>
      <c r="I1637" s="2281"/>
      <c r="K1637" s="2350"/>
      <c r="L1637" s="2350"/>
      <c r="M1637" s="2281"/>
      <c r="P1637" s="2281"/>
    </row>
    <row r="1638" spans="1:16">
      <c r="A1638" s="2281"/>
      <c r="E1638" s="2281"/>
      <c r="I1638" s="2281"/>
      <c r="K1638" s="2350"/>
      <c r="L1638" s="2350"/>
      <c r="M1638" s="2281"/>
      <c r="P1638" s="2281"/>
    </row>
    <row r="1639" spans="1:16">
      <c r="A1639" s="2281"/>
      <c r="E1639" s="2281"/>
      <c r="I1639" s="2281"/>
      <c r="K1639" s="2350"/>
      <c r="L1639" s="2350"/>
      <c r="M1639" s="2281"/>
      <c r="P1639" s="2281"/>
    </row>
    <row r="1640" spans="1:16">
      <c r="A1640" s="2281"/>
      <c r="E1640" s="2281"/>
      <c r="I1640" s="2281"/>
      <c r="K1640" s="2350"/>
      <c r="L1640" s="2350"/>
      <c r="M1640" s="2281"/>
      <c r="P1640" s="2281"/>
    </row>
    <row r="1641" spans="1:16">
      <c r="A1641" s="2281"/>
      <c r="E1641" s="2281"/>
      <c r="I1641" s="2281"/>
      <c r="K1641" s="2350"/>
      <c r="L1641" s="2350"/>
      <c r="M1641" s="2281"/>
      <c r="P1641" s="2281"/>
    </row>
    <row r="1642" spans="1:16">
      <c r="A1642" s="2281"/>
      <c r="E1642" s="2281"/>
      <c r="I1642" s="2281"/>
      <c r="K1642" s="2350"/>
      <c r="L1642" s="2350"/>
      <c r="M1642" s="2281"/>
      <c r="P1642" s="2281"/>
    </row>
    <row r="1643" spans="1:16">
      <c r="A1643" s="2281"/>
      <c r="E1643" s="2281"/>
      <c r="I1643" s="2281"/>
      <c r="K1643" s="2350"/>
      <c r="L1643" s="2350"/>
      <c r="M1643" s="2281"/>
      <c r="P1643" s="2281"/>
    </row>
    <row r="1644" spans="1:16">
      <c r="A1644" s="2281"/>
      <c r="E1644" s="2281"/>
      <c r="I1644" s="2281"/>
      <c r="K1644" s="2350"/>
      <c r="L1644" s="2350"/>
      <c r="M1644" s="2281"/>
      <c r="P1644" s="2281"/>
    </row>
    <row r="1645" spans="1:16">
      <c r="A1645" s="2281"/>
      <c r="E1645" s="2281"/>
      <c r="I1645" s="2281"/>
      <c r="K1645" s="2350"/>
      <c r="L1645" s="2350"/>
      <c r="M1645" s="2281"/>
      <c r="P1645" s="2281"/>
    </row>
    <row r="1646" spans="1:16">
      <c r="A1646" s="2281"/>
      <c r="E1646" s="2281"/>
      <c r="I1646" s="2281"/>
      <c r="K1646" s="2350"/>
      <c r="L1646" s="2350"/>
      <c r="M1646" s="2281"/>
      <c r="P1646" s="2281"/>
    </row>
    <row r="1647" spans="1:16">
      <c r="A1647" s="2281"/>
      <c r="E1647" s="2281"/>
      <c r="I1647" s="2281"/>
      <c r="K1647" s="2350"/>
      <c r="L1647" s="2350"/>
      <c r="M1647" s="2281"/>
      <c r="P1647" s="2281"/>
    </row>
    <row r="1648" spans="1:16">
      <c r="A1648" s="2281"/>
      <c r="E1648" s="2281"/>
      <c r="I1648" s="2281"/>
      <c r="K1648" s="2350"/>
      <c r="L1648" s="2350"/>
      <c r="M1648" s="2281"/>
      <c r="P1648" s="2281"/>
    </row>
    <row r="1649" spans="1:16">
      <c r="A1649" s="2281"/>
      <c r="E1649" s="2281"/>
      <c r="I1649" s="2281"/>
      <c r="K1649" s="2350"/>
      <c r="L1649" s="2350"/>
      <c r="M1649" s="2281"/>
      <c r="P1649" s="2281"/>
    </row>
  </sheetData>
  <sheetProtection password="83C1" sheet="1" objects="1" scenarios="1"/>
  <mergeCells count="10">
    <mergeCell ref="B329:I329"/>
    <mergeCell ref="B115:I115"/>
    <mergeCell ref="A2:M2"/>
    <mergeCell ref="B37:I37"/>
    <mergeCell ref="B90:I90"/>
    <mergeCell ref="B6:E6"/>
    <mergeCell ref="F6:I6"/>
    <mergeCell ref="J5:M5"/>
    <mergeCell ref="B5:I5"/>
    <mergeCell ref="A4:M4"/>
  </mergeCells>
  <phoneticPr fontId="4" type="noConversion"/>
  <conditionalFormatting sqref="J14">
    <cfRule type="expression" dxfId="7" priority="1" stopIfTrue="1">
      <formula>OR(I15&lt;&gt;0,E15&lt;&gt;0)</formula>
    </cfRule>
  </conditionalFormatting>
  <conditionalFormatting sqref="K14">
    <cfRule type="expression" dxfId="6" priority="2" stopIfTrue="1">
      <formula>OR(I15&lt;&gt;0,E15&lt;&gt;0)</formula>
    </cfRule>
  </conditionalFormatting>
  <conditionalFormatting sqref="L14">
    <cfRule type="expression" dxfId="5" priority="3" stopIfTrue="1">
      <formula>OR(E15&lt;&gt;0,I15&lt;&gt;0)</formula>
    </cfRule>
  </conditionalFormatting>
  <conditionalFormatting sqref="M14">
    <cfRule type="expression" dxfId="4" priority="4" stopIfTrue="1">
      <formula>OR(E15&lt;&gt;0,I15&lt;&gt;0)</formula>
    </cfRule>
  </conditionalFormatting>
  <conditionalFormatting sqref="J15">
    <cfRule type="expression" dxfId="3" priority="5" stopIfTrue="1">
      <formula>OR(I14&lt;&gt;0,E14&lt;&gt;0)</formula>
    </cfRule>
  </conditionalFormatting>
  <conditionalFormatting sqref="K15">
    <cfRule type="expression" dxfId="2" priority="6" stopIfTrue="1">
      <formula>OR(I14&lt;&gt;0,E14&lt;&gt;0)</formula>
    </cfRule>
  </conditionalFormatting>
  <conditionalFormatting sqref="L15">
    <cfRule type="expression" dxfId="1" priority="7" stopIfTrue="1">
      <formula>OR(I14&lt;&gt;0,E14&lt;&gt;0)</formula>
    </cfRule>
  </conditionalFormatting>
  <conditionalFormatting sqref="M15">
    <cfRule type="expression" dxfId="0" priority="8" stopIfTrue="1">
      <formula>OR(I14&lt;&gt;0,E14&lt;&gt;0)</formula>
    </cfRule>
  </conditionalFormatting>
  <dataValidations count="1">
    <dataValidation type="list" allowBlank="1" showInputMessage="1" showErrorMessage="1" sqref="I283:I288">
      <formula1>"כן,לא"</formula1>
    </dataValidation>
  </dataValidations>
  <hyperlinks>
    <hyperlink ref="A1" location="'תוכן הענינים'!A1" tooltip="לחץ להצגת גליון תוכן הענינים" display="הצג תוכן ענינים"/>
  </hyperlinks>
  <printOptions horizontalCentered="1" verticalCentered="1"/>
  <pageMargins left="0.21" right="0.14000000000000001" top="0.75" bottom="0.6" header="0.5" footer="0.5"/>
  <pageSetup paperSize="9" scale="60" orientation="portrait" blackAndWhite="1" horizontalDpi="200" verticalDpi="200" r:id="rId1"/>
  <headerFooter alignWithMargins="0">
    <oddHeader>&amp;L&amp;8&amp;A</oddHeader>
    <oddFooter>&amp;C&amp;8&amp;P</oddFooter>
  </headerFooter>
  <rowBreaks count="7" manualBreakCount="7">
    <brk id="61" max="12" man="1"/>
    <brk id="89" max="12" man="1"/>
    <brk id="114" max="12" man="1"/>
    <brk id="148" max="12" man="1"/>
    <brk id="185" max="12" man="1"/>
    <brk id="224" max="12" man="1"/>
    <brk id="262" max="12"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8"/>
  <dimension ref="A1:S47"/>
  <sheetViews>
    <sheetView showGridLines="0" showRowColHeaders="0" showZeros="0" rightToLeft="1" showOutlineSymbols="0" zoomScale="80" workbookViewId="0">
      <selection activeCell="A3" sqref="A3"/>
    </sheetView>
  </sheetViews>
  <sheetFormatPr defaultColWidth="9.109375" defaultRowHeight="13.2"/>
  <cols>
    <col min="1" max="1" width="9.109375" style="179"/>
    <col min="2" max="2" width="38.6640625" style="179" customWidth="1"/>
    <col min="3" max="3" width="2.109375" style="179" customWidth="1"/>
    <col min="4" max="6" width="12.88671875" style="179" customWidth="1"/>
    <col min="7" max="7" width="2.88671875" style="179" customWidth="1"/>
    <col min="8" max="8" width="20.44140625" style="179" customWidth="1"/>
    <col min="9" max="15" width="9.109375" style="179"/>
    <col min="16" max="16" width="18.88671875" style="179" customWidth="1"/>
    <col min="17" max="17" width="9.109375" style="179" customWidth="1"/>
    <col min="18" max="16384" width="9.109375" style="179"/>
  </cols>
  <sheetData>
    <row r="1" spans="1:19" ht="27" customHeight="1">
      <c r="A1" s="181"/>
      <c r="B1" s="2352"/>
      <c r="C1" s="3730" t="s">
        <v>1355</v>
      </c>
      <c r="D1" s="3639"/>
      <c r="E1" s="3639"/>
      <c r="F1" s="3639"/>
      <c r="G1" s="2353"/>
      <c r="H1" s="2354"/>
      <c r="I1" s="178"/>
      <c r="O1" s="3247"/>
      <c r="R1" s="3247"/>
    </row>
    <row r="2" spans="1:19" ht="16.5" customHeight="1">
      <c r="A2" s="181"/>
      <c r="B2" s="2355"/>
      <c r="C2" s="3730"/>
      <c r="D2" s="3639"/>
      <c r="E2" s="3639"/>
      <c r="F2" s="3639"/>
      <c r="G2" s="2352"/>
      <c r="H2" s="2356"/>
      <c r="I2" s="178"/>
      <c r="P2" s="179" t="str">
        <f>GufMevukar</f>
        <v>עירית הרצליה</v>
      </c>
      <c r="Q2" s="179">
        <f>VLOOKUP(P2,'הגדרות כלליות'!$N$1:$P$259,3)</f>
        <v>1</v>
      </c>
      <c r="R2" s="3252">
        <f>VLOOKUP(P2,'הגדרות כלליות'!$N$1:$R$259,4)</f>
        <v>0</v>
      </c>
      <c r="S2" s="3252">
        <f>VLOOKUP(P2,'הגדרות כלליות'!$N$1:$R$259,5)</f>
        <v>1</v>
      </c>
    </row>
    <row r="3" spans="1:19" ht="21.75" customHeight="1">
      <c r="A3" s="7" t="s">
        <v>339</v>
      </c>
      <c r="B3" s="2357"/>
      <c r="C3" s="2357"/>
      <c r="D3" s="2358"/>
      <c r="E3" s="2358"/>
      <c r="F3" s="2358"/>
      <c r="G3" s="2358"/>
      <c r="H3" s="195"/>
      <c r="I3" s="178"/>
      <c r="P3" s="3209" t="s">
        <v>1596</v>
      </c>
      <c r="Q3" s="3209" t="s">
        <v>1597</v>
      </c>
    </row>
    <row r="4" spans="1:19" ht="15.6">
      <c r="A4" s="195"/>
      <c r="B4" s="2359" t="s">
        <v>1356</v>
      </c>
      <c r="C4" s="2360"/>
      <c r="D4" s="2361"/>
      <c r="E4" s="2361"/>
      <c r="F4" s="2361"/>
      <c r="G4" s="2362"/>
      <c r="H4" s="195"/>
      <c r="I4" s="178"/>
    </row>
    <row r="5" spans="1:19" ht="4.5" customHeight="1">
      <c r="A5" s="195"/>
      <c r="B5" s="2363"/>
      <c r="C5" s="2364"/>
      <c r="D5" s="2365"/>
      <c r="E5" s="2365"/>
      <c r="F5" s="2365"/>
      <c r="G5" s="2366"/>
      <c r="H5" s="195"/>
      <c r="I5" s="178"/>
    </row>
    <row r="6" spans="1:19" ht="15.6">
      <c r="A6" s="195"/>
      <c r="B6" s="2367" t="s">
        <v>2182</v>
      </c>
      <c r="C6" s="2364"/>
      <c r="D6" s="226"/>
      <c r="E6" s="3134">
        <f t="shared" ref="E6:E18" si="0">IF($Q$2=1,P6,Q6)</f>
        <v>33.020000000000003</v>
      </c>
      <c r="F6" s="2365"/>
      <c r="G6" s="2366"/>
      <c r="H6" s="195"/>
      <c r="I6" s="178"/>
      <c r="P6" s="179">
        <v>33.020000000000003</v>
      </c>
      <c r="Q6" s="179">
        <v>32.93</v>
      </c>
    </row>
    <row r="7" spans="1:19" s="3264" customFormat="1" ht="15.6">
      <c r="A7" s="3263"/>
      <c r="B7" s="2367" t="s">
        <v>2183</v>
      </c>
      <c r="C7" s="2364"/>
      <c r="D7" s="226"/>
      <c r="E7" s="3134">
        <f t="shared" si="0"/>
        <v>31.85</v>
      </c>
      <c r="F7" s="2365"/>
      <c r="G7" s="2366"/>
      <c r="H7" s="3263"/>
      <c r="I7" s="178"/>
      <c r="P7" s="3264">
        <v>31.85</v>
      </c>
      <c r="Q7" s="3264">
        <v>31.85</v>
      </c>
    </row>
    <row r="8" spans="1:19" ht="15.6">
      <c r="A8" s="195"/>
      <c r="B8" s="2367" t="s">
        <v>2179</v>
      </c>
      <c r="C8" s="2364"/>
      <c r="D8" s="226"/>
      <c r="E8" s="3134">
        <f t="shared" si="0"/>
        <v>64.83</v>
      </c>
      <c r="F8" s="2365"/>
      <c r="G8" s="2366"/>
      <c r="H8" s="195"/>
      <c r="I8" s="178"/>
      <c r="P8" s="179">
        <v>64.83</v>
      </c>
      <c r="Q8" s="179">
        <v>64.650000000000006</v>
      </c>
    </row>
    <row r="9" spans="1:19" ht="15.6">
      <c r="A9" s="195"/>
      <c r="B9" s="2367" t="s">
        <v>2180</v>
      </c>
      <c r="C9" s="2364"/>
      <c r="D9" s="226"/>
      <c r="E9" s="3134">
        <f t="shared" si="0"/>
        <v>440.89</v>
      </c>
      <c r="F9" s="2365"/>
      <c r="G9" s="2366"/>
      <c r="H9" s="195"/>
      <c r="I9" s="178"/>
      <c r="P9" s="3209">
        <v>440.89</v>
      </c>
      <c r="Q9" s="179">
        <v>439.62</v>
      </c>
    </row>
    <row r="10" spans="1:19" ht="15.6">
      <c r="A10" s="195"/>
      <c r="B10" s="2367" t="s">
        <v>2117</v>
      </c>
      <c r="C10" s="2364"/>
      <c r="D10" s="226"/>
      <c r="E10" s="3134">
        <f t="shared" si="0"/>
        <v>23.63</v>
      </c>
      <c r="F10" s="2365"/>
      <c r="G10" s="2366"/>
      <c r="H10" s="195"/>
      <c r="I10" s="178"/>
      <c r="P10" s="179">
        <v>23.63</v>
      </c>
      <c r="Q10" s="179">
        <v>23.57</v>
      </c>
    </row>
    <row r="11" spans="1:19" ht="15.6">
      <c r="A11" s="195"/>
      <c r="B11" s="2367" t="s">
        <v>2113</v>
      </c>
      <c r="C11" s="2364"/>
      <c r="D11" s="226"/>
      <c r="E11" s="3134">
        <f t="shared" si="0"/>
        <v>36.49</v>
      </c>
      <c r="F11" s="2365"/>
      <c r="G11" s="2366"/>
      <c r="H11" s="195"/>
      <c r="I11" s="178"/>
      <c r="P11" s="179">
        <v>36.49</v>
      </c>
      <c r="Q11" s="179">
        <v>36.380000000000003</v>
      </c>
    </row>
    <row r="12" spans="1:19" ht="15.6">
      <c r="A12" s="195"/>
      <c r="B12" s="2367" t="s">
        <v>20</v>
      </c>
      <c r="C12" s="2364"/>
      <c r="D12" s="226"/>
      <c r="E12" s="3134">
        <f t="shared" si="0"/>
        <v>43.77</v>
      </c>
      <c r="F12" s="2365"/>
      <c r="G12" s="2366"/>
      <c r="H12" s="195"/>
      <c r="I12" s="178"/>
      <c r="P12" s="179">
        <v>43.77</v>
      </c>
      <c r="Q12" s="179">
        <v>43.64</v>
      </c>
    </row>
    <row r="13" spans="1:19" ht="15.6">
      <c r="A13" s="195"/>
      <c r="B13" s="2367" t="s">
        <v>2114</v>
      </c>
      <c r="C13" s="2364"/>
      <c r="D13" s="2368" t="s">
        <v>1082</v>
      </c>
      <c r="E13" s="3134">
        <f t="shared" si="0"/>
        <v>9.1699999999999993E-3</v>
      </c>
      <c r="F13" s="2365"/>
      <c r="G13" s="2366"/>
      <c r="H13" s="195"/>
      <c r="I13" s="178"/>
      <c r="P13" s="3209">
        <v>9.1699999999999993E-3</v>
      </c>
      <c r="Q13" s="179">
        <v>9.1430000000000001E-3</v>
      </c>
    </row>
    <row r="14" spans="1:19" ht="15.6">
      <c r="A14" s="195"/>
      <c r="B14" s="2367" t="s">
        <v>1357</v>
      </c>
      <c r="C14" s="2364"/>
      <c r="D14" s="2368" t="s">
        <v>1082</v>
      </c>
      <c r="E14" s="3134">
        <f t="shared" si="0"/>
        <v>1.0439E-2</v>
      </c>
      <c r="F14" s="2365"/>
      <c r="G14" s="2366"/>
      <c r="H14" s="195"/>
      <c r="I14" s="178"/>
      <c r="P14" s="3209">
        <v>1.0439E-2</v>
      </c>
      <c r="Q14" s="179">
        <v>1.0408000000000001E-2</v>
      </c>
    </row>
    <row r="15" spans="1:19" ht="15.6">
      <c r="A15" s="195"/>
      <c r="B15" s="2367" t="s">
        <v>2115</v>
      </c>
      <c r="C15" s="2364"/>
      <c r="D15" s="2368" t="s">
        <v>1082</v>
      </c>
      <c r="E15" s="3134">
        <f t="shared" si="0"/>
        <v>1.1438E-2</v>
      </c>
      <c r="F15" s="2365"/>
      <c r="G15" s="2366"/>
      <c r="H15" s="195"/>
      <c r="I15" s="178"/>
      <c r="P15" s="3209">
        <v>1.1438E-2</v>
      </c>
      <c r="Q15" s="179">
        <v>1.1405E-3</v>
      </c>
    </row>
    <row r="16" spans="1:19" s="3218" customFormat="1" ht="15.6">
      <c r="A16" s="3217"/>
      <c r="B16" s="2367" t="s">
        <v>2181</v>
      </c>
      <c r="C16" s="2364"/>
      <c r="D16" s="2368" t="s">
        <v>1082</v>
      </c>
      <c r="E16" s="3134">
        <f t="shared" ref="E16" si="1">IF($Q$2=1,P16,Q16)</f>
        <v>7.04</v>
      </c>
      <c r="F16" s="2365"/>
      <c r="G16" s="2366"/>
      <c r="H16" s="3217"/>
      <c r="I16" s="178"/>
      <c r="P16" s="3218">
        <v>7.04</v>
      </c>
      <c r="Q16" s="3218">
        <v>7.02</v>
      </c>
    </row>
    <row r="17" spans="1:17" ht="15.6">
      <c r="A17" s="195"/>
      <c r="B17" s="2367" t="s">
        <v>22</v>
      </c>
      <c r="C17" s="2364"/>
      <c r="D17" s="226"/>
      <c r="E17" s="3134">
        <f t="shared" si="0"/>
        <v>1.35</v>
      </c>
      <c r="F17" s="2365"/>
      <c r="G17" s="2366"/>
      <c r="H17" s="195"/>
      <c r="I17" s="178"/>
      <c r="P17" s="179">
        <v>1.35</v>
      </c>
      <c r="Q17" s="179">
        <v>1.35</v>
      </c>
    </row>
    <row r="18" spans="1:17" s="3218" customFormat="1" ht="15.6">
      <c r="A18" s="3217"/>
      <c r="B18" s="2367" t="s">
        <v>2116</v>
      </c>
      <c r="C18" s="2364"/>
      <c r="D18" s="2368" t="s">
        <v>1082</v>
      </c>
      <c r="E18" s="3134">
        <f t="shared" si="0"/>
        <v>0.33200000000000002</v>
      </c>
      <c r="F18" s="2365"/>
      <c r="G18" s="2366"/>
      <c r="H18" s="3217"/>
      <c r="I18" s="178"/>
      <c r="P18" s="3218">
        <v>0.33200000000000002</v>
      </c>
      <c r="Q18" s="3218">
        <v>0.33100000000000002</v>
      </c>
    </row>
    <row r="19" spans="1:17" ht="15.6">
      <c r="A19" s="195"/>
      <c r="B19" s="2367" t="s">
        <v>21</v>
      </c>
      <c r="C19" s="2364"/>
      <c r="D19" s="226"/>
      <c r="E19" s="3134">
        <f>IF($Q$2=1,P19,Q19)</f>
        <v>0</v>
      </c>
      <c r="F19" s="2365"/>
      <c r="G19" s="2366"/>
      <c r="H19" s="195"/>
      <c r="I19" s="178"/>
    </row>
    <row r="20" spans="1:17" ht="15.6">
      <c r="A20" s="195"/>
      <c r="B20" s="2370" t="s">
        <v>519</v>
      </c>
      <c r="C20" s="2364"/>
      <c r="D20" s="2368" t="s">
        <v>1082</v>
      </c>
      <c r="E20" s="2369"/>
      <c r="F20" s="2365"/>
      <c r="G20" s="2366"/>
      <c r="H20" s="195"/>
      <c r="I20" s="178"/>
    </row>
    <row r="21" spans="1:17" ht="15.6" hidden="1">
      <c r="A21" s="195"/>
      <c r="B21" s="2370" t="s">
        <v>350</v>
      </c>
      <c r="C21" s="2364"/>
      <c r="D21" s="2368" t="s">
        <v>1358</v>
      </c>
      <c r="E21" s="2369"/>
      <c r="F21" s="2365"/>
      <c r="G21" s="2366"/>
      <c r="H21" s="195"/>
      <c r="I21" s="178"/>
    </row>
    <row r="22" spans="1:17" ht="15.6" hidden="1">
      <c r="A22" s="195"/>
      <c r="B22" s="2370" t="s">
        <v>350</v>
      </c>
      <c r="C22" s="2364"/>
      <c r="D22" s="2368" t="s">
        <v>1358</v>
      </c>
      <c r="E22" s="2369"/>
      <c r="F22" s="2365"/>
      <c r="G22" s="2366"/>
      <c r="H22" s="195"/>
      <c r="I22" s="178"/>
    </row>
    <row r="23" spans="1:17" ht="15.6" hidden="1">
      <c r="A23" s="195"/>
      <c r="B23" s="2370" t="s">
        <v>350</v>
      </c>
      <c r="C23" s="2364"/>
      <c r="D23" s="2368" t="s">
        <v>1358</v>
      </c>
      <c r="E23" s="2369"/>
      <c r="F23" s="2365"/>
      <c r="G23" s="2366"/>
      <c r="H23" s="195"/>
      <c r="I23" s="178"/>
    </row>
    <row r="24" spans="1:17" ht="15.6" hidden="1">
      <c r="A24" s="195"/>
      <c r="B24" s="2370" t="s">
        <v>350</v>
      </c>
      <c r="C24" s="2364"/>
      <c r="D24" s="2368" t="s">
        <v>1358</v>
      </c>
      <c r="E24" s="2369"/>
      <c r="F24" s="2365"/>
      <c r="G24" s="2366"/>
      <c r="H24" s="195"/>
      <c r="I24" s="178"/>
    </row>
    <row r="25" spans="1:17" ht="15.6" hidden="1">
      <c r="A25" s="195"/>
      <c r="B25" s="2370" t="s">
        <v>350</v>
      </c>
      <c r="C25" s="2364"/>
      <c r="D25" s="2368" t="s">
        <v>1358</v>
      </c>
      <c r="E25" s="2369"/>
      <c r="F25" s="2365"/>
      <c r="G25" s="2366"/>
      <c r="H25" s="195"/>
      <c r="I25" s="178"/>
    </row>
    <row r="26" spans="1:17" ht="15.6" hidden="1">
      <c r="A26" s="195"/>
      <c r="B26" s="2370" t="s">
        <v>350</v>
      </c>
      <c r="C26" s="2364"/>
      <c r="D26" s="2368" t="s">
        <v>1358</v>
      </c>
      <c r="E26" s="2369"/>
      <c r="F26" s="2365"/>
      <c r="G26" s="2366"/>
      <c r="H26" s="195"/>
      <c r="I26" s="178"/>
    </row>
    <row r="27" spans="1:17" ht="7.5" customHeight="1">
      <c r="A27" s="195"/>
      <c r="B27" s="2367"/>
      <c r="C27" s="2364"/>
      <c r="D27" s="2371"/>
      <c r="E27" s="2372"/>
      <c r="F27" s="2365"/>
      <c r="G27" s="2366"/>
      <c r="H27" s="195"/>
      <c r="I27" s="178"/>
    </row>
    <row r="28" spans="1:17" ht="15.6">
      <c r="A28" s="195"/>
      <c r="B28" s="2373" t="s">
        <v>1359</v>
      </c>
      <c r="C28" s="2364"/>
      <c r="D28" s="2371"/>
      <c r="E28" s="2372"/>
      <c r="F28" s="2365"/>
      <c r="G28" s="2366"/>
      <c r="H28" s="195"/>
      <c r="I28" s="178"/>
    </row>
    <row r="29" spans="1:17" ht="12.75" customHeight="1">
      <c r="A29" s="195"/>
      <c r="B29" s="2374"/>
      <c r="C29" s="2364"/>
      <c r="D29" s="2375">
        <f>'הגדרות כלליות'!D10</f>
        <v>2015</v>
      </c>
      <c r="E29" s="2375">
        <f>'הגדרות כלליות'!D12</f>
        <v>2014</v>
      </c>
      <c r="F29" s="2375">
        <f>'הגדרות כלליות'!D14</f>
        <v>2013</v>
      </c>
      <c r="G29" s="2366"/>
      <c r="H29" s="195"/>
      <c r="I29" s="178"/>
    </row>
    <row r="30" spans="1:17" ht="6" customHeight="1">
      <c r="A30" s="195"/>
      <c r="B30" s="2374"/>
      <c r="C30" s="2364"/>
      <c r="D30" s="226"/>
      <c r="E30" s="226"/>
      <c r="F30" s="226"/>
      <c r="G30" s="2366"/>
      <c r="H30" s="195"/>
      <c r="I30" s="178"/>
    </row>
    <row r="31" spans="1:17" ht="15.6">
      <c r="A31" s="195"/>
      <c r="B31" s="2374" t="s">
        <v>581</v>
      </c>
      <c r="C31" s="2364"/>
      <c r="D31" s="3145">
        <f>+'ביאורים 1, 2 א-ב'!G23</f>
        <v>3.9049999999999998</v>
      </c>
      <c r="E31" s="3145">
        <f>+'ביאורים 1, 2 א-ב'!H23</f>
        <v>3.8889999999999998</v>
      </c>
      <c r="F31" s="3145">
        <f>+'ביאורים 1, 2 א-ב'!I23</f>
        <v>3.4710000000000001</v>
      </c>
      <c r="G31" s="2366"/>
      <c r="H31" s="195"/>
      <c r="I31" s="178"/>
    </row>
    <row r="32" spans="1:17" ht="15.6">
      <c r="A32" s="195"/>
      <c r="B32" s="2374" t="s">
        <v>1360</v>
      </c>
      <c r="C32" s="2364"/>
      <c r="D32" s="3144">
        <f>+'ביאורים 1, 2 א-ב'!G24</f>
        <v>221.13</v>
      </c>
      <c r="E32" s="3144">
        <f>+'ביאורים 1, 2 א-ב'!H24</f>
        <v>223.36</v>
      </c>
      <c r="F32" s="3144">
        <f>+'ביאורים 1, 2 א-ב'!I24</f>
        <v>223.8</v>
      </c>
      <c r="G32" s="2366"/>
      <c r="H32" s="195"/>
      <c r="I32" s="178"/>
    </row>
    <row r="33" spans="1:9" ht="15.6">
      <c r="A33" s="195"/>
      <c r="B33" s="2374" t="s">
        <v>1361</v>
      </c>
      <c r="C33" s="2364"/>
      <c r="D33" s="3135">
        <f>D31/E31-1</f>
        <v>4.1141681666239105E-3</v>
      </c>
      <c r="E33" s="3135">
        <f>E31/F31-1</f>
        <v>0.12042639008931144</v>
      </c>
      <c r="F33" s="3135">
        <v>7.6600000000000001E-2</v>
      </c>
      <c r="G33" s="2366"/>
      <c r="H33" s="195"/>
      <c r="I33" s="178"/>
    </row>
    <row r="34" spans="1:9" ht="15.6">
      <c r="A34" s="195"/>
      <c r="B34" s="2374" t="s">
        <v>195</v>
      </c>
      <c r="C34" s="2364"/>
      <c r="D34" s="3135">
        <f>D32/E32-1</f>
        <v>-9.9838825214900728E-3</v>
      </c>
      <c r="E34" s="3135">
        <f>E32/F32-1</f>
        <v>-1.9660411081322549E-3</v>
      </c>
      <c r="F34" s="3135">
        <v>2.1732000000000001E-2</v>
      </c>
      <c r="G34" s="2366"/>
      <c r="H34" s="195"/>
      <c r="I34" s="178"/>
    </row>
    <row r="35" spans="1:9" ht="15.6">
      <c r="A35" s="195"/>
      <c r="B35" s="2374"/>
      <c r="C35" s="2364"/>
      <c r="D35" s="2376"/>
      <c r="E35" s="2376"/>
      <c r="F35" s="2376"/>
      <c r="G35" s="2366"/>
      <c r="H35" s="195"/>
      <c r="I35" s="178"/>
    </row>
    <row r="36" spans="1:9" ht="15.6">
      <c r="A36" s="195"/>
      <c r="B36" s="2377" t="s">
        <v>1364</v>
      </c>
      <c r="C36" s="2364"/>
      <c r="D36" s="2378"/>
      <c r="E36" s="3133" t="s">
        <v>2199</v>
      </c>
      <c r="F36" s="2378"/>
      <c r="G36" s="2366"/>
      <c r="H36" s="195"/>
      <c r="I36" s="178"/>
    </row>
    <row r="37" spans="1:9" ht="15.6">
      <c r="A37" s="195"/>
      <c r="B37" s="2377"/>
      <c r="C37" s="2364"/>
      <c r="D37" s="2378"/>
      <c r="E37" s="2378"/>
      <c r="F37" s="2378"/>
      <c r="G37" s="2366"/>
      <c r="H37" s="195"/>
      <c r="I37" s="178"/>
    </row>
    <row r="38" spans="1:9" ht="15.6">
      <c r="A38" s="195"/>
      <c r="B38" s="2377" t="s">
        <v>810</v>
      </c>
      <c r="C38" s="2364"/>
      <c r="D38" s="2378"/>
      <c r="E38" s="2378"/>
      <c r="F38" s="2378"/>
      <c r="G38" s="2366"/>
      <c r="H38" s="195"/>
      <c r="I38" s="178"/>
    </row>
    <row r="39" spans="1:9" ht="15.6">
      <c r="A39" s="195"/>
      <c r="B39" s="2374" t="s">
        <v>965</v>
      </c>
      <c r="C39" s="2364"/>
      <c r="D39" s="2378"/>
      <c r="E39" s="3134">
        <v>1.05</v>
      </c>
      <c r="F39" s="2378"/>
      <c r="G39" s="2366"/>
      <c r="H39" s="195"/>
      <c r="I39" s="178"/>
    </row>
    <row r="40" spans="1:9" ht="15.6">
      <c r="A40" s="195"/>
      <c r="B40" s="2374" t="s">
        <v>1041</v>
      </c>
      <c r="C40" s="2364"/>
      <c r="D40" s="2378"/>
      <c r="E40" s="3134">
        <v>1.05</v>
      </c>
      <c r="F40" s="2378"/>
      <c r="G40" s="2366"/>
      <c r="H40" s="195"/>
      <c r="I40" s="178"/>
    </row>
    <row r="41" spans="1:9" ht="15.6">
      <c r="A41" s="195"/>
      <c r="B41" s="2374" t="s">
        <v>966</v>
      </c>
      <c r="C41" s="2364"/>
      <c r="D41" s="2378"/>
      <c r="E41" s="3134">
        <v>1.05</v>
      </c>
      <c r="F41" s="2378"/>
      <c r="G41" s="2366"/>
      <c r="H41" s="195"/>
      <c r="I41" s="178"/>
    </row>
    <row r="42" spans="1:9" ht="15.6">
      <c r="A42" s="195"/>
      <c r="B42" s="2374" t="s">
        <v>1109</v>
      </c>
      <c r="C42" s="2364"/>
      <c r="D42" s="2378"/>
      <c r="E42" s="3134">
        <v>1.01</v>
      </c>
      <c r="F42" s="2378"/>
      <c r="G42" s="2366"/>
      <c r="H42" s="195"/>
      <c r="I42" s="178"/>
    </row>
    <row r="43" spans="1:9" ht="15.6">
      <c r="A43" s="195"/>
      <c r="B43" s="2377"/>
      <c r="C43" s="2364"/>
      <c r="D43" s="2378"/>
      <c r="E43" s="2378"/>
      <c r="F43" s="2378"/>
      <c r="G43" s="2366"/>
      <c r="H43" s="195"/>
      <c r="I43" s="178"/>
    </row>
    <row r="44" spans="1:9" ht="15.6">
      <c r="A44" s="195"/>
      <c r="B44" s="2379"/>
      <c r="C44" s="2380"/>
      <c r="D44" s="268"/>
      <c r="E44" s="268"/>
      <c r="F44" s="268"/>
      <c r="G44" s="269"/>
      <c r="H44" s="195"/>
      <c r="I44" s="178"/>
    </row>
    <row r="45" spans="1:9">
      <c r="A45" s="195"/>
      <c r="B45" s="3132"/>
      <c r="C45" s="979"/>
      <c r="D45" s="195"/>
      <c r="E45" s="195"/>
      <c r="F45" s="195"/>
      <c r="G45" s="195"/>
      <c r="H45" s="195"/>
      <c r="I45" s="178"/>
    </row>
    <row r="46" spans="1:9" ht="13.5" customHeight="1" thickBot="1">
      <c r="A46" s="2382"/>
      <c r="B46" s="2381"/>
      <c r="C46" s="2383"/>
      <c r="D46" s="195"/>
      <c r="E46" s="195"/>
      <c r="F46" s="195"/>
      <c r="G46" s="195"/>
      <c r="H46" s="195"/>
      <c r="I46" s="178"/>
    </row>
    <row r="47" spans="1:9" ht="13.8" thickTop="1">
      <c r="B47" s="286"/>
      <c r="C47" s="286"/>
      <c r="D47" s="286"/>
      <c r="E47" s="286"/>
      <c r="F47" s="286"/>
      <c r="G47" s="286"/>
      <c r="H47" s="286"/>
    </row>
  </sheetData>
  <sheetProtection password="83C1" sheet="1" objects="1" scenarios="1"/>
  <mergeCells count="2">
    <mergeCell ref="C1:F1"/>
    <mergeCell ref="C2:F2"/>
  </mergeCells>
  <phoneticPr fontId="4" type="noConversion"/>
  <dataValidations xWindow="294" yWindow="564" count="2">
    <dataValidation allowBlank="1" showInputMessage="1" showErrorMessage="1" prompt="ציין האם מדובר בתעריף למ&quot;ר או לדונם" sqref="D21:D28"/>
    <dataValidation type="list" allowBlank="1" showInputMessage="1" showErrorMessage="1" prompt="ציין האם מדובר בתעריף למ&quot;ר או לדונם" sqref="D13:D16 D18 D20">
      <formula1>"למ""ר,לדונם"</formula1>
    </dataValidation>
  </dataValidations>
  <hyperlinks>
    <hyperlink ref="A3" location="'תוכן הענינים'!A1" tooltip="לחץ להצגת גליון תוכן הענינים" display="הצג תוכן ענינים"/>
  </hyperlinks>
  <printOptions horizontalCentered="1"/>
  <pageMargins left="0.8" right="0.75" top="1" bottom="1" header="0.5" footer="0.5"/>
  <pageSetup paperSize="9" orientation="portrait" blackAndWhite="1" horizontalDpi="300" verticalDpi="300" r:id="rId1"/>
  <headerFooter alignWithMargins="0">
    <oddHeader>&amp;L&amp;8&amp;A</oddHeader>
    <oddFooter>&amp;C&amp;8&amp;P</oddFooter>
  </headerFooter>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9"/>
  <dimension ref="A1:I56"/>
  <sheetViews>
    <sheetView showGridLines="0" showRowColHeaders="0" showZeros="0" rightToLeft="1" showOutlineSymbols="0" zoomScaleNormal="100" workbookViewId="0">
      <selection activeCell="A2" sqref="A2"/>
    </sheetView>
  </sheetViews>
  <sheetFormatPr defaultColWidth="9.109375" defaultRowHeight="13.2"/>
  <cols>
    <col min="1" max="1" width="4.44140625" style="2388" customWidth="1"/>
    <col min="2" max="2" width="21.6640625" style="2388" customWidth="1"/>
    <col min="3" max="3" width="9.5546875" style="2388" customWidth="1"/>
    <col min="4" max="4" width="5.33203125" style="2388" customWidth="1"/>
    <col min="5" max="5" width="14.5546875" style="2388" customWidth="1"/>
    <col min="6" max="6" width="12.109375" style="2388" customWidth="1"/>
    <col min="7" max="7" width="15.5546875" style="2388" customWidth="1"/>
    <col min="8" max="8" width="4.6640625" style="2388" customWidth="1"/>
    <col min="9" max="16384" width="9.109375" style="2388"/>
  </cols>
  <sheetData>
    <row r="1" spans="1:9" ht="43.5" customHeight="1">
      <c r="A1" s="2384"/>
      <c r="B1" s="2384"/>
      <c r="C1" s="2384"/>
      <c r="D1" s="2384"/>
      <c r="E1" s="2385" t="str">
        <f>'הגדרות כלליות'!D6</f>
        <v>עירית הרצליה</v>
      </c>
      <c r="F1" s="2386"/>
      <c r="G1" s="2386"/>
      <c r="H1" s="2386"/>
      <c r="I1" s="2387"/>
    </row>
    <row r="2" spans="1:9" ht="21" customHeight="1">
      <c r="A2" s="7" t="s">
        <v>339</v>
      </c>
      <c r="B2" s="2389"/>
      <c r="C2" s="2389"/>
      <c r="D2" s="2389"/>
      <c r="E2" s="2389"/>
      <c r="F2" s="2389"/>
      <c r="G2" s="2389"/>
      <c r="H2" s="2389"/>
      <c r="I2" s="2387"/>
    </row>
    <row r="3" spans="1:9">
      <c r="A3" s="2389"/>
      <c r="B3" s="2794" t="str">
        <f>CONCATENATE("מספר תושבים - ",ShanaKodemet)</f>
        <v>מספר תושבים - 2014</v>
      </c>
      <c r="C3" s="3734">
        <v>101302</v>
      </c>
      <c r="D3" s="3734"/>
      <c r="E3" s="3737" t="str">
        <f>CONCATENATE("שטח שיפוט (דונם)  - ",ShanaKodemet)</f>
        <v>שטח שיפוט (דונם)  - 2014</v>
      </c>
      <c r="F3" s="3737"/>
      <c r="G3" s="2390">
        <v>23000</v>
      </c>
      <c r="H3" s="2389"/>
      <c r="I3" s="2387"/>
    </row>
    <row r="4" spans="1:9">
      <c r="A4" s="2389"/>
      <c r="B4" s="2794" t="str">
        <f>CONCATENATE("מספר תושבים - ",Shana)</f>
        <v>מספר תושבים - 2015</v>
      </c>
      <c r="C4" s="3735">
        <v>102642</v>
      </c>
      <c r="D4" s="3735"/>
      <c r="E4" s="3737" t="str">
        <f>CONCATENATE("שטח שיפוט (דונם)  - ",Shana)</f>
        <v>שטח שיפוט (דונם)  - 2015</v>
      </c>
      <c r="F4" s="3737"/>
      <c r="G4" s="2391">
        <v>23000</v>
      </c>
      <c r="H4" s="2389"/>
      <c r="I4" s="2387"/>
    </row>
    <row r="5" spans="1:9">
      <c r="A5" s="2389"/>
      <c r="B5" s="2389" t="s">
        <v>1114</v>
      </c>
      <c r="C5" s="3736">
        <v>34384</v>
      </c>
      <c r="D5" s="3736"/>
      <c r="E5" s="3738" t="s">
        <v>1115</v>
      </c>
      <c r="F5" s="3738"/>
      <c r="G5" s="2392">
        <v>8</v>
      </c>
      <c r="H5" s="2389"/>
      <c r="I5" s="2387"/>
    </row>
    <row r="6" spans="1:9" ht="9.75" customHeight="1">
      <c r="A6" s="2389"/>
      <c r="B6" s="2393"/>
      <c r="C6" s="2393"/>
      <c r="D6" s="2393"/>
      <c r="E6" s="2393"/>
      <c r="F6" s="2393"/>
      <c r="G6" s="2393"/>
      <c r="H6" s="2389"/>
      <c r="I6" s="2387"/>
    </row>
    <row r="7" spans="1:9" ht="25.5" customHeight="1">
      <c r="A7" s="2389"/>
      <c r="B7" s="2389" t="s">
        <v>1365</v>
      </c>
      <c r="C7" s="2389"/>
      <c r="D7" s="2389"/>
      <c r="E7" s="2389"/>
      <c r="F7" s="2389"/>
      <c r="G7" s="2389"/>
      <c r="H7" s="2389"/>
      <c r="I7" s="2387"/>
    </row>
    <row r="8" spans="1:9">
      <c r="A8" s="2389"/>
      <c r="B8" s="3739" t="s">
        <v>2223</v>
      </c>
      <c r="C8" s="3740"/>
      <c r="D8" s="3740"/>
      <c r="E8" s="3740"/>
      <c r="F8" s="2389"/>
      <c r="G8" s="2389"/>
      <c r="H8" s="2389"/>
      <c r="I8" s="2387"/>
    </row>
    <row r="9" spans="1:9">
      <c r="A9" s="2389"/>
      <c r="B9" s="2394"/>
      <c r="C9" s="2394"/>
      <c r="D9" s="2394"/>
      <c r="E9" s="2394"/>
      <c r="F9" s="2389"/>
      <c r="G9" s="2389"/>
      <c r="H9" s="2389"/>
      <c r="I9" s="2387"/>
    </row>
    <row r="10" spans="1:9">
      <c r="A10" s="2389"/>
      <c r="B10" s="2389" t="s">
        <v>1366</v>
      </c>
      <c r="C10" s="2389"/>
      <c r="D10" s="2389"/>
      <c r="E10" s="2389"/>
      <c r="F10" s="2389"/>
      <c r="G10" s="2389"/>
      <c r="H10" s="2389"/>
      <c r="I10" s="2387"/>
    </row>
    <row r="11" spans="1:9">
      <c r="A11" s="2389"/>
      <c r="B11" s="3733" t="s">
        <v>2224</v>
      </c>
      <c r="C11" s="3733"/>
      <c r="D11" s="3733"/>
      <c r="E11" s="3733"/>
      <c r="F11" s="2389"/>
      <c r="G11" s="2389"/>
      <c r="H11" s="2389"/>
      <c r="I11" s="2387"/>
    </row>
    <row r="12" spans="1:9">
      <c r="A12" s="2389"/>
      <c r="B12" s="2389"/>
      <c r="C12" s="2389"/>
      <c r="D12" s="2389"/>
      <c r="E12" s="2389"/>
      <c r="F12" s="2389"/>
      <c r="G12" s="2389"/>
      <c r="H12" s="2389"/>
      <c r="I12" s="2387"/>
    </row>
    <row r="13" spans="1:9">
      <c r="A13" s="2389"/>
      <c r="B13" s="2389" t="s">
        <v>1367</v>
      </c>
      <c r="C13" s="2389"/>
      <c r="D13" s="2389"/>
      <c r="E13" s="2389"/>
      <c r="F13" s="2389"/>
      <c r="G13" s="2389"/>
      <c r="H13" s="2389"/>
      <c r="I13" s="2387"/>
    </row>
    <row r="14" spans="1:9">
      <c r="A14" s="2389"/>
      <c r="B14" s="3731" t="s">
        <v>360</v>
      </c>
      <c r="C14" s="3731"/>
      <c r="D14" s="3731"/>
      <c r="E14" s="3731"/>
      <c r="F14" s="3732"/>
      <c r="G14" s="3732"/>
      <c r="H14" s="2389"/>
      <c r="I14" s="2387"/>
    </row>
    <row r="15" spans="1:9">
      <c r="A15" s="2389"/>
      <c r="B15" s="2389"/>
      <c r="C15" s="2389"/>
      <c r="D15" s="2389"/>
      <c r="E15" s="2389"/>
      <c r="F15" s="2389"/>
      <c r="G15" s="2389"/>
      <c r="H15" s="2389"/>
      <c r="I15" s="2387"/>
    </row>
    <row r="16" spans="1:9">
      <c r="A16" s="2389"/>
      <c r="B16" s="2931" t="s">
        <v>811</v>
      </c>
      <c r="C16" s="2389"/>
      <c r="D16" s="2389"/>
      <c r="E16" s="2389"/>
      <c r="F16" s="2389"/>
      <c r="G16" s="2389"/>
      <c r="H16" s="2389"/>
      <c r="I16" s="2387"/>
    </row>
    <row r="17" spans="1:9">
      <c r="A17" s="2389"/>
      <c r="B17" s="3733"/>
      <c r="C17" s="3733"/>
      <c r="D17" s="3733"/>
      <c r="E17" s="3733"/>
      <c r="F17" s="2389"/>
      <c r="G17" s="2389"/>
      <c r="H17" s="2389"/>
      <c r="I17" s="2387"/>
    </row>
    <row r="18" spans="1:9">
      <c r="A18" s="2389"/>
      <c r="B18" s="2389"/>
      <c r="C18" s="2389"/>
      <c r="D18" s="2389"/>
      <c r="E18" s="2389"/>
      <c r="F18" s="2389"/>
      <c r="G18" s="2389"/>
      <c r="H18" s="2389"/>
      <c r="I18" s="2387"/>
    </row>
    <row r="19" spans="1:9" ht="13.8" thickBot="1">
      <c r="A19" s="2389"/>
      <c r="B19" s="2389"/>
      <c r="C19" s="2389"/>
      <c r="D19" s="2389"/>
      <c r="E19" s="2389"/>
      <c r="F19" s="2389"/>
      <c r="G19" s="2389"/>
      <c r="H19" s="2389"/>
      <c r="I19" s="2387"/>
    </row>
    <row r="20" spans="1:9" ht="13.8" thickTop="1">
      <c r="A20" s="2395"/>
      <c r="B20" s="2395"/>
      <c r="C20" s="2395"/>
      <c r="D20" s="2395"/>
      <c r="E20" s="2395"/>
      <c r="F20" s="2395"/>
      <c r="G20" s="2395"/>
      <c r="H20" s="2395"/>
    </row>
    <row r="21" spans="1:9" hidden="1">
      <c r="B21" s="2960" t="s">
        <v>621</v>
      </c>
    </row>
    <row r="47" spans="2:2">
      <c r="B47" s="2388" t="s">
        <v>794</v>
      </c>
    </row>
    <row r="48" spans="2:2">
      <c r="B48" s="2388" t="s">
        <v>1138</v>
      </c>
    </row>
    <row r="49" spans="2:2">
      <c r="B49" s="2388" t="s">
        <v>1139</v>
      </c>
    </row>
    <row r="50" spans="2:2">
      <c r="B50" s="2388" t="s">
        <v>793</v>
      </c>
    </row>
    <row r="51" spans="2:2">
      <c r="B51" s="2388" t="s">
        <v>792</v>
      </c>
    </row>
    <row r="52" spans="2:2">
      <c r="B52" s="2388" t="s">
        <v>796</v>
      </c>
    </row>
    <row r="53" spans="2:2">
      <c r="B53" s="3258" t="s">
        <v>2173</v>
      </c>
    </row>
    <row r="54" spans="2:2">
      <c r="B54" s="3258" t="s">
        <v>2175</v>
      </c>
    </row>
    <row r="55" spans="2:2">
      <c r="B55" s="2388" t="s">
        <v>795</v>
      </c>
    </row>
    <row r="56" spans="2:2">
      <c r="B56" s="2388" t="s">
        <v>360</v>
      </c>
    </row>
  </sheetData>
  <sheetProtection password="83C1" sheet="1" objects="1" scenarios="1"/>
  <mergeCells count="10">
    <mergeCell ref="B14:G14"/>
    <mergeCell ref="B17:E17"/>
    <mergeCell ref="B11:E11"/>
    <mergeCell ref="C3:D3"/>
    <mergeCell ref="C4:D4"/>
    <mergeCell ref="C5:D5"/>
    <mergeCell ref="E3:F3"/>
    <mergeCell ref="E4:F4"/>
    <mergeCell ref="E5:F5"/>
    <mergeCell ref="B8:E8"/>
  </mergeCells>
  <phoneticPr fontId="4" type="noConversion"/>
  <dataValidations count="5">
    <dataValidation type="list" allowBlank="1" showInputMessage="1" showErrorMessage="1" sqref="B11:E11">
      <formula1>"תקציב הרשות אושר על ידי המליאה, תקציב הרשות לא אושר על ידי המליאה"</formula1>
    </dataValidation>
    <dataValidation type="list" allowBlank="1" showInputMessage="1" showErrorMessage="1" sqref="B17:E17">
      <formula1>"כן, לא"</formula1>
    </dataValidation>
    <dataValidation allowBlank="1" showInputMessage="1" showErrorMessage="1" sqref="B18:D18"/>
    <dataValidation type="list" allowBlank="1" showInputMessage="1" showErrorMessage="1" sqref="B14:E14">
      <formula1>דוחרוח</formula1>
    </dataValidation>
    <dataValidation type="list" allowBlank="1" showInputMessage="1" showErrorMessage="1" sqref="B8:E8">
      <formula1>"תקציב הרשות אושר על ידי משרד הפנים, תקציב הרשות לא אושר על ידי משרד הפנים, עדכון התקציב לא אושר על ידי משרד הפנים,הרשות הינה רשות איתנה ותקציבה אינו טעון אישור משרד הפנים"</formula1>
    </dataValidation>
  </dataValidations>
  <hyperlinks>
    <hyperlink ref="A2" location="'תוכן הענינים'!A1" tooltip="לחץ להצגת גליון תוכן הענינים" display="הצג תוכן ענינים"/>
  </hyperlinks>
  <pageMargins left="0.75" right="0.75" top="1" bottom="1" header="0.5" footer="0.5"/>
  <pageSetup paperSize="9" orientation="portrait" blackAndWhite="1" horizontalDpi="300" verticalDpi="300" r:id="rId1"/>
  <headerFooter alignWithMargins="0">
    <oddHeader>&amp;L&amp;8&amp;A</oddHeader>
    <oddFooter>&amp;C&amp;8&amp;P</oddFooter>
  </headerFooter>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0"/>
  <dimension ref="A1:J62"/>
  <sheetViews>
    <sheetView showGridLines="0" showRowColHeaders="0" showZeros="0" rightToLeft="1" showOutlineSymbols="0" zoomScaleNormal="100" workbookViewId="0">
      <selection activeCell="A14" sqref="A14"/>
    </sheetView>
  </sheetViews>
  <sheetFormatPr defaultColWidth="9.109375" defaultRowHeight="13.2"/>
  <cols>
    <col min="1" max="1" width="53" style="570" customWidth="1"/>
    <col min="2" max="3" width="14.6640625" style="570" customWidth="1"/>
    <col min="4" max="4" width="14.44140625" style="570" hidden="1" customWidth="1"/>
    <col min="5" max="5" width="14.6640625" style="570" hidden="1" customWidth="1"/>
    <col min="6" max="6" width="1.88671875" style="570" hidden="1" customWidth="1"/>
    <col min="7" max="7" width="14.44140625" style="570" hidden="1" customWidth="1"/>
    <col min="8" max="8" width="14.6640625" style="570" hidden="1" customWidth="1"/>
    <col min="9" max="16384" width="9.109375" style="570"/>
  </cols>
  <sheetData>
    <row r="1" spans="1:10" ht="46.5" customHeight="1">
      <c r="A1" s="567"/>
      <c r="B1" s="3458" t="s">
        <v>1368</v>
      </c>
      <c r="C1" s="3458"/>
      <c r="D1" s="3458"/>
      <c r="E1" s="3458"/>
      <c r="F1" s="3458"/>
      <c r="G1" s="3458"/>
      <c r="H1" s="3458"/>
      <c r="I1" s="3458"/>
      <c r="J1" s="569"/>
    </row>
    <row r="2" spans="1:10" hidden="1">
      <c r="A2" s="2396" t="s">
        <v>1370</v>
      </c>
      <c r="B2" s="2235"/>
      <c r="C2" s="2235"/>
      <c r="D2" s="2235"/>
      <c r="E2" s="2235"/>
      <c r="F2" s="2235"/>
      <c r="G2" s="2235"/>
      <c r="H2" s="2235"/>
      <c r="I2" s="2235"/>
      <c r="J2" s="569"/>
    </row>
    <row r="3" spans="1:10" hidden="1">
      <c r="A3" s="2235"/>
      <c r="B3" s="2235"/>
      <c r="C3" s="2235"/>
      <c r="D3" s="2397" t="s">
        <v>954</v>
      </c>
      <c r="E3" s="2397" t="s">
        <v>846</v>
      </c>
      <c r="F3" s="2235"/>
      <c r="G3" s="2235"/>
      <c r="H3" s="2235"/>
      <c r="I3" s="2235"/>
      <c r="J3" s="569"/>
    </row>
    <row r="4" spans="1:10" hidden="1">
      <c r="A4" s="2235" t="s">
        <v>1371</v>
      </c>
      <c r="B4" s="2235"/>
      <c r="C4" s="2235"/>
      <c r="D4" s="2398"/>
      <c r="E4" s="2398"/>
      <c r="F4" s="2235"/>
      <c r="G4" s="2235"/>
      <c r="H4" s="2235"/>
      <c r="I4" s="2235"/>
      <c r="J4" s="569"/>
    </row>
    <row r="5" spans="1:10" hidden="1">
      <c r="A5" s="2235" t="s">
        <v>775</v>
      </c>
      <c r="B5" s="2235"/>
      <c r="C5" s="2235"/>
      <c r="D5" s="2398"/>
      <c r="E5" s="2398"/>
      <c r="F5" s="2235"/>
      <c r="G5" s="2235"/>
      <c r="H5" s="2235"/>
      <c r="I5" s="2235"/>
      <c r="J5" s="569"/>
    </row>
    <row r="6" spans="1:10" hidden="1">
      <c r="A6" s="2235" t="s">
        <v>776</v>
      </c>
      <c r="B6" s="2235"/>
      <c r="C6" s="2235"/>
      <c r="D6" s="2398"/>
      <c r="E6" s="2398"/>
      <c r="F6" s="2235"/>
      <c r="G6" s="2235"/>
      <c r="H6" s="2235"/>
      <c r="I6" s="2235"/>
      <c r="J6" s="569"/>
    </row>
    <row r="7" spans="1:10" hidden="1">
      <c r="A7" s="2235" t="s">
        <v>777</v>
      </c>
      <c r="B7" s="2235"/>
      <c r="C7" s="2235"/>
      <c r="D7" s="2398"/>
      <c r="E7" s="2398"/>
      <c r="F7" s="2235"/>
      <c r="G7" s="2235"/>
      <c r="H7" s="2235"/>
      <c r="I7" s="2235"/>
      <c r="J7" s="569"/>
    </row>
    <row r="8" spans="1:10" hidden="1">
      <c r="A8" s="2235" t="s">
        <v>778</v>
      </c>
      <c r="B8" s="2235"/>
      <c r="C8" s="2235"/>
      <c r="D8" s="2398"/>
      <c r="E8" s="2398"/>
      <c r="F8" s="2235"/>
      <c r="G8" s="2235"/>
      <c r="H8" s="2235"/>
      <c r="I8" s="2235"/>
      <c r="J8" s="569"/>
    </row>
    <row r="9" spans="1:10" hidden="1">
      <c r="A9" s="2235" t="s">
        <v>779</v>
      </c>
      <c r="B9" s="2235"/>
      <c r="C9" s="2235"/>
      <c r="D9" s="2398"/>
      <c r="E9" s="2398"/>
      <c r="F9" s="2235"/>
      <c r="G9" s="2235"/>
      <c r="H9" s="2235"/>
      <c r="I9" s="2235"/>
      <c r="J9" s="569"/>
    </row>
    <row r="10" spans="1:10" hidden="1">
      <c r="A10" s="2235" t="s">
        <v>780</v>
      </c>
      <c r="B10" s="2235"/>
      <c r="C10" s="2235"/>
      <c r="D10" s="2398"/>
      <c r="E10" s="2398"/>
      <c r="F10" s="2235"/>
      <c r="G10" s="2235"/>
      <c r="H10" s="2235"/>
      <c r="I10" s="2235"/>
      <c r="J10" s="569"/>
    </row>
    <row r="11" spans="1:10" hidden="1">
      <c r="A11" s="2235" t="s">
        <v>781</v>
      </c>
      <c r="B11" s="2235"/>
      <c r="C11" s="2235"/>
      <c r="D11" s="2398"/>
      <c r="E11" s="2398"/>
      <c r="F11" s="2235"/>
      <c r="G11" s="2235"/>
      <c r="H11" s="2235"/>
      <c r="I11" s="2235"/>
      <c r="J11" s="569"/>
    </row>
    <row r="12" spans="1:10" ht="13.8" hidden="1" thickBot="1">
      <c r="A12" s="2235" t="s">
        <v>1372</v>
      </c>
      <c r="B12" s="2235"/>
      <c r="C12" s="2235"/>
      <c r="D12" s="2399">
        <f>SUM(D4:D11)</f>
        <v>0</v>
      </c>
      <c r="E12" s="2399">
        <f>SUM(E4:E11)</f>
        <v>0</v>
      </c>
      <c r="F12" s="2235"/>
      <c r="G12" s="2235"/>
      <c r="H12" s="2235"/>
      <c r="I12" s="2235"/>
      <c r="J12" s="569"/>
    </row>
    <row r="13" spans="1:10" ht="24" hidden="1" customHeight="1" thickTop="1">
      <c r="A13" s="2235"/>
      <c r="B13" s="2235"/>
      <c r="C13" s="2235"/>
      <c r="D13" s="2235"/>
      <c r="E13" s="2235"/>
      <c r="F13" s="2235"/>
      <c r="G13" s="2235"/>
      <c r="H13" s="2235"/>
      <c r="I13" s="2235"/>
      <c r="J13" s="569"/>
    </row>
    <row r="14" spans="1:10" ht="24" customHeight="1">
      <c r="A14" s="7" t="s">
        <v>339</v>
      </c>
      <c r="B14" s="571"/>
      <c r="C14" s="571"/>
      <c r="D14" s="571"/>
      <c r="E14" s="571"/>
      <c r="F14" s="571"/>
      <c r="G14" s="571"/>
      <c r="H14" s="571"/>
      <c r="I14" s="571"/>
      <c r="J14" s="569"/>
    </row>
    <row r="15" spans="1:10" ht="41.25" customHeight="1">
      <c r="A15" s="3741" t="s">
        <v>14</v>
      </c>
      <c r="B15" s="3742"/>
      <c r="C15" s="3742"/>
      <c r="D15" s="3742"/>
      <c r="E15" s="3742"/>
      <c r="F15" s="3742"/>
      <c r="G15" s="3742"/>
      <c r="H15" s="3742"/>
      <c r="I15" s="571"/>
      <c r="J15" s="569"/>
    </row>
    <row r="16" spans="1:10" hidden="1">
      <c r="A16" s="2396"/>
      <c r="B16" s="2235"/>
      <c r="C16" s="2235"/>
      <c r="D16" s="2397" t="s">
        <v>954</v>
      </c>
      <c r="E16" s="2397" t="s">
        <v>846</v>
      </c>
      <c r="F16" s="2235"/>
      <c r="G16" s="2235"/>
      <c r="H16" s="2235"/>
      <c r="I16" s="2235"/>
      <c r="J16" s="569"/>
    </row>
    <row r="17" spans="1:10" hidden="1">
      <c r="A17" s="2235" t="s">
        <v>1373</v>
      </c>
      <c r="B17" s="2235"/>
      <c r="C17" s="2235"/>
      <c r="D17" s="2401">
        <f>'טופס 2'!$G$61</f>
        <v>17517</v>
      </c>
      <c r="E17" s="2401">
        <f>'טופס 2'!$I$61</f>
        <v>10642</v>
      </c>
      <c r="F17" s="2235"/>
      <c r="G17" s="2738" t="s">
        <v>567</v>
      </c>
      <c r="H17" s="2235"/>
      <c r="I17" s="2235"/>
      <c r="J17" s="569"/>
    </row>
    <row r="18" spans="1:10" ht="15.75" customHeight="1">
      <c r="A18" s="3743" t="s">
        <v>15</v>
      </c>
      <c r="B18" s="571"/>
      <c r="C18" s="571"/>
      <c r="D18" s="3746" t="s">
        <v>954</v>
      </c>
      <c r="E18" s="3747"/>
      <c r="F18" s="571"/>
      <c r="G18" s="3747" t="s">
        <v>846</v>
      </c>
      <c r="H18" s="3747"/>
      <c r="I18" s="571"/>
      <c r="J18" s="569"/>
    </row>
    <row r="19" spans="1:10" s="615" customFormat="1" ht="39" customHeight="1">
      <c r="A19" s="3744"/>
      <c r="B19" s="2403">
        <f>'הגדרות כלליות'!D10</f>
        <v>2015</v>
      </c>
      <c r="C19" s="2403">
        <f>'הגדרות כלליות'!D12</f>
        <v>2014</v>
      </c>
      <c r="D19" s="2404" t="s">
        <v>1374</v>
      </c>
      <c r="E19" s="2404" t="s">
        <v>1376</v>
      </c>
      <c r="F19" s="2404"/>
      <c r="G19" s="2404" t="s">
        <v>1374</v>
      </c>
      <c r="H19" s="2404" t="s">
        <v>1376</v>
      </c>
      <c r="I19" s="367"/>
      <c r="J19" s="2405"/>
    </row>
    <row r="20" spans="1:10" ht="15.6">
      <c r="A20" s="2406" t="s">
        <v>815</v>
      </c>
      <c r="B20" s="2407">
        <v>23286</v>
      </c>
      <c r="C20" s="2408">
        <v>32644</v>
      </c>
      <c r="D20" s="2409">
        <f>IF($B$24&gt;0,B20,0)</f>
        <v>23286</v>
      </c>
      <c r="E20" s="2409">
        <f>IF($B$24&lt;=0,-1*(B20),0)</f>
        <v>0</v>
      </c>
      <c r="F20" s="2235"/>
      <c r="G20" s="2409">
        <f>IF($C$24&gt;0,C20,0)</f>
        <v>32644</v>
      </c>
      <c r="H20" s="2409">
        <f>IF($C$24&lt;=0,-1*(C20),0)</f>
        <v>0</v>
      </c>
      <c r="I20" s="571"/>
      <c r="J20" s="569"/>
    </row>
    <row r="21" spans="1:10" ht="15.6">
      <c r="A21" s="2739" t="s">
        <v>568</v>
      </c>
      <c r="B21" s="2411">
        <f>'ביאור 3'!C146</f>
        <v>-21361</v>
      </c>
      <c r="C21" s="2411">
        <f>'ביאור 3'!E146</f>
        <v>-20000</v>
      </c>
      <c r="D21" s="2409">
        <f>IF($B$24&gt;0,B21,0)</f>
        <v>-21361</v>
      </c>
      <c r="E21" s="2409">
        <f>IF($B$24&lt;=0,-1*(B21),0)</f>
        <v>0</v>
      </c>
      <c r="F21" s="2235"/>
      <c r="G21" s="2409">
        <f>IF($C$24&gt;0,C21,0)</f>
        <v>-20000</v>
      </c>
      <c r="H21" s="2409">
        <f>IF($C$24&lt;=0,-1*(C21),0)</f>
        <v>0</v>
      </c>
      <c r="I21" s="571"/>
      <c r="J21" s="569"/>
    </row>
    <row r="22" spans="1:10" ht="15.6">
      <c r="A22" s="2406" t="s">
        <v>1377</v>
      </c>
      <c r="B22" s="2411">
        <f>'טופס 2'!G61</f>
        <v>17517</v>
      </c>
      <c r="C22" s="2412">
        <f>'טופס 2'!I61</f>
        <v>10642</v>
      </c>
      <c r="D22" s="2409">
        <f>IF($B$24&gt;0,B22,0)</f>
        <v>17517</v>
      </c>
      <c r="E22" s="2409">
        <f>IF($B$24&lt;=0,-1*(B22),0)</f>
        <v>0</v>
      </c>
      <c r="F22" s="2235"/>
      <c r="G22" s="2409">
        <f>IF($C$24&gt;0,C22,0)</f>
        <v>10642</v>
      </c>
      <c r="H22" s="2409">
        <f>IF($C$24&lt;=0,-1*(C22),0)</f>
        <v>0</v>
      </c>
      <c r="I22" s="571"/>
      <c r="J22" s="569"/>
    </row>
    <row r="23" spans="1:10" ht="31.5" customHeight="1">
      <c r="A23" s="2400" t="s">
        <v>1378</v>
      </c>
      <c r="B23" s="2413"/>
      <c r="C23" s="2414"/>
      <c r="D23" s="2409">
        <f>IF($B$24&gt;0,B23,0)</f>
        <v>0</v>
      </c>
      <c r="E23" s="2409">
        <f>IF($B$24&lt;=0,-1*(B23),0)</f>
        <v>0</v>
      </c>
      <c r="F23" s="2235"/>
      <c r="G23" s="2409">
        <f>IF($C$24&gt;0,C23,0)</f>
        <v>0</v>
      </c>
      <c r="H23" s="2409">
        <f>IF($C$24&lt;=0,-1*(C23),0)</f>
        <v>0</v>
      </c>
      <c r="I23" s="571"/>
      <c r="J23" s="569"/>
    </row>
    <row r="24" spans="1:10" ht="21.75" customHeight="1" thickBot="1">
      <c r="A24" s="2402" t="s">
        <v>782</v>
      </c>
      <c r="B24" s="2415">
        <f>SUM(B20:B23)</f>
        <v>19442</v>
      </c>
      <c r="C24" s="2416">
        <f>SUM(C20:C23)</f>
        <v>23286</v>
      </c>
      <c r="D24" s="2417">
        <f>SUM(D20:D23)</f>
        <v>19442</v>
      </c>
      <c r="E24" s="2417">
        <f>SUM(E20:E23)</f>
        <v>0</v>
      </c>
      <c r="F24" s="2235"/>
      <c r="G24" s="2417">
        <f>SUM(G20:G23)</f>
        <v>23286</v>
      </c>
      <c r="H24" s="2417">
        <f>SUM(H20:H23)</f>
        <v>0</v>
      </c>
      <c r="I24" s="571"/>
      <c r="J24" s="569"/>
    </row>
    <row r="25" spans="1:10" ht="13.8" hidden="1" thickTop="1">
      <c r="A25" s="2235" t="s">
        <v>1379</v>
      </c>
      <c r="B25" s="2235"/>
      <c r="C25" s="2235"/>
      <c r="D25" s="616">
        <f>IF((OR(D24&lt;&gt;0,D20&lt;&gt;0,D21&lt;&gt;0,D23&lt;&gt;0)),D20+D21+D23+D17,0)</f>
        <v>19442</v>
      </c>
      <c r="E25" s="616">
        <f>IF((OR(E24&lt;&gt;0,E20&lt;&gt;0,E21&lt;&gt;0,E23&lt;&gt;0)),D17 -(E20+E21+E23),0)</f>
        <v>0</v>
      </c>
      <c r="F25" s="2235"/>
      <c r="G25" s="616">
        <f>IF((OR(G24&lt;&gt;0,G20&lt;&gt;0,G21&lt;&gt;0,G23&lt;&gt;0)),G20+G21+G23+E17,0)</f>
        <v>23286</v>
      </c>
      <c r="H25" s="616">
        <f>IF((OR(H24&lt;&gt;0,H20&lt;&gt;0,H21&lt;&gt;0,H23&lt;&gt;0)),E17 -(H20+H21+H23),0)</f>
        <v>0</v>
      </c>
      <c r="I25" s="571"/>
      <c r="J25" s="569"/>
    </row>
    <row r="26" spans="1:10" hidden="1">
      <c r="A26" s="2235"/>
      <c r="B26" s="2235"/>
      <c r="C26" s="2235"/>
      <c r="D26" s="2235"/>
      <c r="E26" s="2235"/>
      <c r="F26" s="2235"/>
      <c r="G26" s="2235"/>
      <c r="H26" s="2235"/>
      <c r="I26" s="571"/>
      <c r="J26" s="569"/>
    </row>
    <row r="27" spans="1:10" hidden="1">
      <c r="A27" s="2397" t="s">
        <v>1380</v>
      </c>
      <c r="B27" s="2235"/>
      <c r="C27" s="2235"/>
      <c r="D27" s="2418"/>
      <c r="E27" s="2235"/>
      <c r="F27" s="2235"/>
      <c r="G27" s="2235"/>
      <c r="H27" s="2235"/>
      <c r="I27" s="571"/>
      <c r="J27" s="569"/>
    </row>
    <row r="28" spans="1:10" hidden="1">
      <c r="A28" s="2235"/>
      <c r="B28" s="2235"/>
      <c r="C28" s="2235"/>
      <c r="D28" s="2419" t="s">
        <v>954</v>
      </c>
      <c r="E28" s="2235"/>
      <c r="F28" s="2235"/>
      <c r="G28" s="2397" t="s">
        <v>846</v>
      </c>
      <c r="H28" s="2235"/>
      <c r="I28" s="571"/>
      <c r="J28" s="569"/>
    </row>
    <row r="29" spans="1:10" hidden="1">
      <c r="A29" s="2235" t="s">
        <v>815</v>
      </c>
      <c r="B29" s="2235"/>
      <c r="C29" s="2235"/>
      <c r="D29" s="570">
        <f>IF(E20&lt;&gt;0,E20,D20)</f>
        <v>23286</v>
      </c>
      <c r="E29" s="2235"/>
      <c r="F29" s="2235"/>
      <c r="G29" s="570">
        <f>IF(H20&lt;&gt;0,H20,G20)</f>
        <v>32644</v>
      </c>
      <c r="H29" s="2235"/>
      <c r="I29" s="571"/>
      <c r="J29" s="569"/>
    </row>
    <row r="30" spans="1:10" hidden="1">
      <c r="A30" s="2235" t="s">
        <v>385</v>
      </c>
      <c r="B30" s="2235"/>
      <c r="C30" s="2235"/>
      <c r="D30" s="570">
        <f>IF(E21&lt;&gt;0,E21,D21)</f>
        <v>-21361</v>
      </c>
      <c r="E30" s="2235"/>
      <c r="F30" s="2235"/>
      <c r="G30" s="570">
        <f>IF(H21&lt;&gt;0,H21,G21)</f>
        <v>-20000</v>
      </c>
      <c r="H30" s="2235"/>
      <c r="I30" s="571"/>
      <c r="J30" s="569"/>
    </row>
    <row r="31" spans="1:10" hidden="1">
      <c r="A31" s="2235" t="s">
        <v>1244</v>
      </c>
      <c r="B31" s="2235"/>
      <c r="C31" s="2235"/>
      <c r="D31" s="570">
        <f>IF(E23&lt;&gt;0,E23,D23)</f>
        <v>0</v>
      </c>
      <c r="E31" s="2235"/>
      <c r="F31" s="2235"/>
      <c r="G31" s="570">
        <f>IF(H23&lt;&gt;0,H23,G23)</f>
        <v>0</v>
      </c>
      <c r="H31" s="2235"/>
      <c r="I31" s="571"/>
      <c r="J31" s="569"/>
    </row>
    <row r="32" spans="1:10" hidden="1">
      <c r="A32" s="2235" t="s">
        <v>782</v>
      </c>
      <c r="B32" s="2235"/>
      <c r="C32" s="2235"/>
      <c r="D32" s="570">
        <f>IF(E25&lt;&gt;0,E25,D25)</f>
        <v>19442</v>
      </c>
      <c r="E32" s="2235"/>
      <c r="F32" s="2235"/>
      <c r="G32" s="570">
        <f>IF(H25&lt;&gt;0,H25,G25)</f>
        <v>23286</v>
      </c>
      <c r="H32" s="2235"/>
      <c r="I32" s="571"/>
      <c r="J32" s="569"/>
    </row>
    <row r="33" spans="1:10" hidden="1">
      <c r="A33" s="2235"/>
      <c r="B33" s="2235"/>
      <c r="C33" s="2235"/>
      <c r="D33" s="2235"/>
      <c r="E33" s="2235"/>
      <c r="F33" s="2235"/>
      <c r="G33" s="2235"/>
      <c r="H33" s="2235"/>
      <c r="I33" s="571"/>
      <c r="J33" s="569"/>
    </row>
    <row r="34" spans="1:10" s="615" customFormat="1" ht="39" hidden="1" customHeight="1">
      <c r="A34" s="3745" t="s">
        <v>1381</v>
      </c>
      <c r="B34" s="3745"/>
      <c r="C34" s="2420"/>
      <c r="D34" s="2419" t="s">
        <v>954</v>
      </c>
      <c r="E34" s="2421"/>
      <c r="F34" s="2421"/>
      <c r="G34" s="2397" t="s">
        <v>846</v>
      </c>
      <c r="H34" s="2421"/>
      <c r="I34" s="367"/>
      <c r="J34" s="2405"/>
    </row>
    <row r="35" spans="1:10" hidden="1">
      <c r="A35" s="2235" t="s">
        <v>815</v>
      </c>
      <c r="B35" s="2235"/>
      <c r="C35" s="2235"/>
      <c r="D35" s="570">
        <f>IF(D32&lt;0,IF(D20&lt;&gt;0,-1*D20,E20),IF(D32&gt;0,IF(D20&lt;&gt;0,D20,-1*E20),0))</f>
        <v>23286</v>
      </c>
      <c r="E35" s="2235"/>
      <c r="F35" s="2235"/>
      <c r="G35" s="570">
        <f>IF(G32&lt;0,IF(G20&lt;&gt;0,-1*G20,H20),IF(G32&gt;0,IF(G20&lt;&gt;0,G20,-1*H20),0))</f>
        <v>32644</v>
      </c>
      <c r="H35" s="2235"/>
      <c r="I35" s="571"/>
      <c r="J35" s="569"/>
    </row>
    <row r="36" spans="1:10" hidden="1">
      <c r="A36" s="2235" t="s">
        <v>385</v>
      </c>
      <c r="B36" s="2235"/>
      <c r="C36" s="2235"/>
      <c r="D36" s="570">
        <f>IF(D32&lt;0,IF(D21&lt;&gt;0,-1*D21,E21),IF(D32&gt;0,IF(D21&lt;&gt;0,D21,-1*E21),0))</f>
        <v>-21361</v>
      </c>
      <c r="E36" s="2235"/>
      <c r="F36" s="2235"/>
      <c r="G36" s="570">
        <f>IF(G32&lt;0,IF(G21&lt;&gt;0,-1*G21,H21),IF(G32&gt;0,IF(G21&lt;&gt;0,G21,-1*H21),0))</f>
        <v>-20000</v>
      </c>
      <c r="H36" s="2235"/>
      <c r="I36" s="571"/>
      <c r="J36" s="569"/>
    </row>
    <row r="37" spans="1:10" hidden="1">
      <c r="A37" s="2235" t="s">
        <v>1244</v>
      </c>
      <c r="B37" s="2235"/>
      <c r="C37" s="2235"/>
      <c r="D37" s="570">
        <f>IF(D32&lt;0,IF(D23&lt;&gt;0,-1*D23,E23),IF(D32&gt;0,IF(D23&lt;&gt;0,D23,-1*E23),0))</f>
        <v>0</v>
      </c>
      <c r="E37" s="2235"/>
      <c r="F37" s="2235"/>
      <c r="G37" s="570">
        <f>IF(G32&lt;0,IF(G23&lt;&gt;0,-1*G23,H23),IF(G32&gt;0,IF(G23&lt;&gt;0,G23,-1*H23),0))</f>
        <v>0</v>
      </c>
      <c r="H37" s="2235"/>
      <c r="I37" s="571"/>
      <c r="J37" s="569"/>
    </row>
    <row r="38" spans="1:10" hidden="1">
      <c r="A38" s="2235" t="s">
        <v>1377</v>
      </c>
      <c r="B38" s="2235"/>
      <c r="C38" s="2235"/>
      <c r="D38" s="570">
        <f>IF(D32&gt;0,'טופס 2'!G61,-1*'טופס 2'!G61)</f>
        <v>17517</v>
      </c>
      <c r="E38" s="2235"/>
      <c r="F38" s="2235"/>
      <c r="G38" s="570">
        <f>IF(G32&gt;0,'טופס 2'!I61,-1*'טופס 2'!I61)</f>
        <v>10642</v>
      </c>
      <c r="H38" s="2235"/>
      <c r="I38" s="571"/>
      <c r="J38" s="569"/>
    </row>
    <row r="39" spans="1:10" hidden="1">
      <c r="A39" s="2235"/>
      <c r="B39" s="2235"/>
      <c r="C39" s="2235"/>
      <c r="D39" s="2235"/>
      <c r="E39" s="2235"/>
      <c r="F39" s="2235"/>
      <c r="G39" s="2235"/>
      <c r="H39" s="2235"/>
      <c r="I39" s="571"/>
      <c r="J39" s="569"/>
    </row>
    <row r="40" spans="1:10" hidden="1">
      <c r="A40" s="2235" t="s">
        <v>1382</v>
      </c>
      <c r="B40" s="2235"/>
      <c r="C40" s="2235"/>
      <c r="D40" s="570">
        <f>ABS(E21+D21)</f>
        <v>21361</v>
      </c>
      <c r="E40" s="2235"/>
      <c r="F40" s="2235"/>
      <c r="G40" s="570">
        <f>ABS(H21+G21)</f>
        <v>20000</v>
      </c>
      <c r="H40" s="2235"/>
      <c r="I40" s="571"/>
      <c r="J40" s="569"/>
    </row>
    <row r="41" spans="1:10" hidden="1">
      <c r="A41" s="2396" t="s">
        <v>1383</v>
      </c>
      <c r="B41" s="2235"/>
      <c r="C41" s="2235"/>
      <c r="D41" s="2235"/>
      <c r="E41" s="2235"/>
      <c r="F41" s="2235"/>
      <c r="G41" s="2235"/>
      <c r="H41" s="2235"/>
      <c r="I41" s="571"/>
      <c r="J41" s="569"/>
    </row>
    <row r="42" spans="1:10" hidden="1">
      <c r="A42" s="2397" t="s">
        <v>1384</v>
      </c>
      <c r="B42" s="2235"/>
      <c r="C42" s="2235"/>
      <c r="D42" s="2235"/>
      <c r="E42" s="2235"/>
      <c r="F42" s="2235"/>
      <c r="G42" s="2235"/>
      <c r="H42" s="2235"/>
      <c r="I42" s="571"/>
      <c r="J42" s="569"/>
    </row>
    <row r="43" spans="1:10" hidden="1">
      <c r="A43" s="2235" t="s">
        <v>1385</v>
      </c>
      <c r="B43" s="2235"/>
      <c r="C43" s="2235"/>
      <c r="D43" s="2235"/>
      <c r="E43" s="2235"/>
      <c r="F43" s="2235"/>
      <c r="G43" s="2235"/>
      <c r="H43" s="2235"/>
      <c r="I43" s="571"/>
      <c r="J43" s="569"/>
    </row>
    <row r="44" spans="1:10" hidden="1">
      <c r="A44" s="2235" t="s">
        <v>1386</v>
      </c>
      <c r="B44" s="2235"/>
      <c r="C44" s="2235"/>
      <c r="D44" s="2235"/>
      <c r="E44" s="2235"/>
      <c r="F44" s="2235"/>
      <c r="G44" s="2235"/>
      <c r="H44" s="2235"/>
      <c r="I44" s="571"/>
      <c r="J44" s="569"/>
    </row>
    <row r="45" spans="1:10" hidden="1">
      <c r="A45" s="2235" t="s">
        <v>1387</v>
      </c>
      <c r="B45" s="2235"/>
      <c r="C45" s="2235"/>
      <c r="D45" s="2235"/>
      <c r="E45" s="2235"/>
      <c r="F45" s="2235"/>
      <c r="G45" s="2235"/>
      <c r="H45" s="2235"/>
      <c r="I45" s="571"/>
      <c r="J45" s="569"/>
    </row>
    <row r="46" spans="1:10" hidden="1">
      <c r="A46" s="2235" t="s">
        <v>1388</v>
      </c>
      <c r="B46" s="2235"/>
      <c r="C46" s="2235"/>
      <c r="D46" s="2235"/>
      <c r="E46" s="2235"/>
      <c r="F46" s="2235"/>
      <c r="G46" s="2235"/>
      <c r="H46" s="2235"/>
      <c r="I46" s="571"/>
      <c r="J46" s="569"/>
    </row>
    <row r="47" spans="1:10" hidden="1">
      <c r="A47" s="2235"/>
      <c r="B47" s="2235"/>
      <c r="C47" s="2235"/>
      <c r="D47" s="2235"/>
      <c r="E47" s="2235"/>
      <c r="F47" s="2235"/>
      <c r="G47" s="2235"/>
      <c r="H47" s="2235"/>
      <c r="I47" s="571"/>
      <c r="J47" s="569"/>
    </row>
    <row r="48" spans="1:10" hidden="1">
      <c r="A48" s="2397" t="s">
        <v>1389</v>
      </c>
      <c r="B48" s="2235"/>
      <c r="C48" s="2235"/>
      <c r="D48" s="2235"/>
      <c r="E48" s="2235"/>
      <c r="F48" s="2235"/>
      <c r="G48" s="2235"/>
      <c r="H48" s="2235"/>
      <c r="I48" s="571"/>
      <c r="J48" s="569"/>
    </row>
    <row r="49" spans="1:10" hidden="1">
      <c r="A49" s="2235" t="s">
        <v>1390</v>
      </c>
      <c r="B49" s="2235" t="s">
        <v>1391</v>
      </c>
      <c r="C49" s="2235"/>
      <c r="D49" s="2235"/>
      <c r="E49" s="2235"/>
      <c r="F49" s="2235"/>
      <c r="G49" s="2235"/>
      <c r="H49" s="2235"/>
      <c r="I49" s="571"/>
      <c r="J49" s="569"/>
    </row>
    <row r="50" spans="1:10" hidden="1">
      <c r="A50" s="2235" t="s">
        <v>1392</v>
      </c>
      <c r="B50" s="2235" t="s">
        <v>1393</v>
      </c>
      <c r="C50" s="2235"/>
      <c r="D50" s="2235"/>
      <c r="E50" s="2235"/>
      <c r="F50" s="2235"/>
      <c r="G50" s="2235"/>
      <c r="H50" s="2235"/>
      <c r="I50" s="571"/>
      <c r="J50" s="569"/>
    </row>
    <row r="51" spans="1:10" hidden="1">
      <c r="A51" s="2235" t="s">
        <v>1394</v>
      </c>
      <c r="B51" s="2235" t="s">
        <v>1395</v>
      </c>
      <c r="C51" s="2235"/>
      <c r="D51" s="2235"/>
      <c r="E51" s="2235"/>
      <c r="F51" s="2235"/>
      <c r="G51" s="2235"/>
      <c r="H51" s="2235"/>
      <c r="I51" s="571"/>
      <c r="J51" s="569"/>
    </row>
    <row r="52" spans="1:10" hidden="1">
      <c r="A52" s="2235" t="s">
        <v>1396</v>
      </c>
      <c r="B52" s="2235" t="s">
        <v>1402</v>
      </c>
      <c r="C52" s="2235"/>
      <c r="D52" s="2235"/>
      <c r="E52" s="2235"/>
      <c r="F52" s="2235"/>
      <c r="G52" s="2235"/>
      <c r="H52" s="2235"/>
      <c r="I52" s="571"/>
      <c r="J52" s="569"/>
    </row>
    <row r="53" spans="1:10" hidden="1">
      <c r="A53" s="2235" t="s">
        <v>1403</v>
      </c>
      <c r="B53" s="2235" t="s">
        <v>1404</v>
      </c>
      <c r="C53" s="2235"/>
      <c r="D53" s="2235"/>
      <c r="E53" s="2235"/>
      <c r="F53" s="2235"/>
      <c r="G53" s="2235"/>
      <c r="H53" s="2235"/>
      <c r="I53" s="571"/>
      <c r="J53" s="569"/>
    </row>
    <row r="54" spans="1:10" hidden="1">
      <c r="A54" s="2235" t="s">
        <v>1405</v>
      </c>
      <c r="B54" s="2235" t="s">
        <v>1406</v>
      </c>
      <c r="C54" s="2235"/>
      <c r="D54" s="2235"/>
      <c r="E54" s="2235"/>
      <c r="F54" s="2235"/>
      <c r="G54" s="2235"/>
      <c r="H54" s="2235"/>
      <c r="I54" s="571"/>
      <c r="J54" s="569"/>
    </row>
    <row r="55" spans="1:10" hidden="1">
      <c r="A55" s="2235"/>
      <c r="B55" s="2235"/>
      <c r="C55" s="2235"/>
      <c r="D55" s="2235"/>
      <c r="E55" s="2235"/>
      <c r="F55" s="2235"/>
      <c r="G55" s="2235"/>
      <c r="H55" s="2235"/>
      <c r="I55" s="571"/>
      <c r="J55" s="569"/>
    </row>
    <row r="56" spans="1:10" hidden="1">
      <c r="A56" s="2738" t="s">
        <v>570</v>
      </c>
      <c r="B56" s="2235"/>
      <c r="C56" s="2235"/>
      <c r="D56" s="2235"/>
      <c r="E56" s="2235"/>
      <c r="F56" s="2235"/>
      <c r="G56" s="2235"/>
      <c r="H56" s="2235"/>
      <c r="I56" s="571"/>
      <c r="J56" s="569"/>
    </row>
    <row r="57" spans="1:10" hidden="1">
      <c r="A57" s="2737" t="s">
        <v>385</v>
      </c>
      <c r="B57" s="2235" t="s">
        <v>569</v>
      </c>
      <c r="C57" s="2235"/>
      <c r="D57" s="2235"/>
      <c r="E57" s="2235"/>
      <c r="F57" s="2235"/>
      <c r="G57" s="2235"/>
      <c r="H57" s="2235"/>
      <c r="I57" s="571"/>
      <c r="J57" s="569"/>
    </row>
    <row r="58" spans="1:10" hidden="1">
      <c r="A58" s="2737" t="s">
        <v>570</v>
      </c>
      <c r="B58" s="2235"/>
      <c r="C58" s="2235"/>
      <c r="D58" s="2235"/>
      <c r="E58" s="2235"/>
      <c r="F58" s="2235"/>
      <c r="G58" s="2235"/>
      <c r="H58" s="2235"/>
      <c r="I58" s="571"/>
      <c r="J58" s="569"/>
    </row>
    <row r="59" spans="1:10" hidden="1">
      <c r="A59" s="2737" t="str">
        <f>IF(AND('ביאור 3'!C144=0,'ביאור 3'!E144=0,'ביאור 3'!C138&gt;=0,'ביאור 3'!E138&gt;=0),A57,A58)</f>
        <v>שינויים ביתרה לתחילת השנה</v>
      </c>
      <c r="B59" s="2737" t="s">
        <v>571</v>
      </c>
      <c r="C59" s="2235"/>
      <c r="D59" s="2235"/>
      <c r="E59" s="2235"/>
      <c r="F59" s="2235"/>
      <c r="G59" s="2235"/>
      <c r="H59" s="2235"/>
      <c r="I59" s="571"/>
      <c r="J59" s="569"/>
    </row>
    <row r="60" spans="1:10" ht="13.8" thickTop="1">
      <c r="A60" s="571"/>
      <c r="B60" s="571"/>
      <c r="C60" s="571"/>
      <c r="D60" s="2235"/>
      <c r="E60" s="2235"/>
      <c r="F60" s="2235"/>
      <c r="G60" s="2235"/>
      <c r="H60" s="2235"/>
      <c r="I60" s="571"/>
      <c r="J60" s="569"/>
    </row>
    <row r="61" spans="1:10" ht="13.8" thickBot="1">
      <c r="A61" s="571"/>
      <c r="B61" s="571"/>
      <c r="C61" s="571"/>
      <c r="D61" s="2235"/>
      <c r="E61" s="2235"/>
      <c r="F61" s="2235"/>
      <c r="G61" s="2235"/>
      <c r="H61" s="2235"/>
      <c r="I61" s="571"/>
      <c r="J61" s="569"/>
    </row>
    <row r="62" spans="1:10" ht="13.8" thickTop="1">
      <c r="A62" s="611"/>
      <c r="B62" s="611"/>
      <c r="C62" s="611"/>
      <c r="D62" s="611"/>
      <c r="E62" s="611"/>
      <c r="F62" s="611"/>
      <c r="G62" s="611"/>
      <c r="H62" s="611"/>
      <c r="I62" s="611"/>
    </row>
  </sheetData>
  <sheetProtection password="83C1" sheet="1" objects="1" scenarios="1"/>
  <mergeCells count="6">
    <mergeCell ref="B1:I1"/>
    <mergeCell ref="A15:H15"/>
    <mergeCell ref="A18:A19"/>
    <mergeCell ref="A34:B34"/>
    <mergeCell ref="D18:E18"/>
    <mergeCell ref="G18:H18"/>
  </mergeCells>
  <phoneticPr fontId="4" type="noConversion"/>
  <dataValidations xWindow="360" yWindow="437" count="2">
    <dataValidation type="decimal" operator="lessThanOrEqual" allowBlank="1" showInputMessage="1" showErrorMessage="1" errorTitle="נתון חיובי" error="הסכום צריך להיות מוזן במינוס" prompt="הסכום צריך להיות מוזן במינוס" sqref="B23:C23">
      <formula1>0</formula1>
    </dataValidation>
    <dataValidation operator="greaterThanOrEqual" allowBlank="1" errorTitle="נתון שלילי" error="הסכום צריך להיות מוזן בפלוס" prompt="הסכום צריך להיות מוזן בפלוס" sqref="C21 B21"/>
  </dataValidations>
  <hyperlinks>
    <hyperlink ref="A14" location="'תוכן הענינים'!A1" tooltip="לחץ להצגת גליון תוכן הענינים" display="הצג תוכן ענינים"/>
  </hyperlinks>
  <pageMargins left="0.56999999999999995" right="0.59" top="1" bottom="1" header="0.5" footer="0.5"/>
  <pageSetup paperSize="9" scale="99" orientation="portrait" blackAndWhite="1" r:id="rId1"/>
  <headerFooter alignWithMargins="0">
    <oddHeader>&amp;L&amp;8&amp;A</oddHeader>
    <oddFooter>&amp;C&amp;8&amp;P</oddFooter>
  </headerFooter>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1"/>
  <dimension ref="A1:AH40"/>
  <sheetViews>
    <sheetView showGridLines="0" showRowColHeaders="0" showZeros="0" rightToLeft="1" showOutlineSymbols="0" zoomScaleNormal="100" workbookViewId="0">
      <selection activeCell="A2" sqref="A2"/>
    </sheetView>
  </sheetViews>
  <sheetFormatPr defaultColWidth="9.109375" defaultRowHeight="13.2"/>
  <cols>
    <col min="1" max="1" width="10.6640625" style="570" customWidth="1"/>
    <col min="2" max="2" width="32.6640625" style="570" customWidth="1"/>
    <col min="3" max="3" width="7.88671875" style="570" customWidth="1"/>
    <col min="4" max="4" width="12.5546875" style="570" customWidth="1"/>
    <col min="5" max="5" width="11.5546875" style="570" customWidth="1"/>
    <col min="6" max="6" width="11.44140625" style="570" customWidth="1"/>
    <col min="7" max="16384" width="9.109375" style="570"/>
  </cols>
  <sheetData>
    <row r="1" spans="1:34" s="2235" customFormat="1" ht="50.25" customHeight="1">
      <c r="A1" s="567"/>
      <c r="B1" s="567"/>
      <c r="C1" s="3748" t="s">
        <v>1407</v>
      </c>
      <c r="D1" s="3748"/>
      <c r="E1" s="3748"/>
      <c r="F1" s="3748"/>
      <c r="G1" s="569"/>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row>
    <row r="2" spans="1:34" s="2235" customFormat="1" ht="25.5" customHeight="1">
      <c r="A2" s="7" t="s">
        <v>339</v>
      </c>
      <c r="B2" s="571"/>
      <c r="C2" s="574"/>
      <c r="D2" s="2357"/>
      <c r="E2" s="2422"/>
      <c r="F2" s="2357"/>
      <c r="G2" s="569"/>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row>
    <row r="3" spans="1:34" s="2235" customFormat="1" ht="13.8">
      <c r="A3" s="571"/>
      <c r="B3" s="2423" t="s">
        <v>1408</v>
      </c>
      <c r="C3" s="2424"/>
      <c r="D3" s="2424">
        <f>'הגדרות כלליות'!D10</f>
        <v>2015</v>
      </c>
      <c r="E3" s="2425">
        <f>'הגדרות כלליות'!D12</f>
        <v>2014</v>
      </c>
      <c r="F3" s="2426"/>
      <c r="G3" s="569"/>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row>
    <row r="4" spans="1:34" s="2235" customFormat="1">
      <c r="A4" s="571"/>
      <c r="B4" s="603"/>
      <c r="C4" s="2375"/>
      <c r="D4" s="2427"/>
      <c r="E4" s="2428"/>
      <c r="F4" s="571"/>
      <c r="G4" s="569"/>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row>
    <row r="5" spans="1:34" s="2235" customFormat="1">
      <c r="A5" s="571"/>
      <c r="B5" s="1658" t="s">
        <v>1409</v>
      </c>
      <c r="C5" s="583"/>
      <c r="D5" s="2429"/>
      <c r="E5" s="2430"/>
      <c r="F5" s="571"/>
      <c r="G5" s="569"/>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row>
    <row r="6" spans="1:34" s="2235" customFormat="1">
      <c r="A6" s="571"/>
      <c r="B6" s="1658" t="s">
        <v>1410</v>
      </c>
      <c r="C6" s="583"/>
      <c r="D6" s="2429"/>
      <c r="E6" s="2430">
        <v>15133</v>
      </c>
      <c r="F6" s="571"/>
      <c r="G6" s="569"/>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row>
    <row r="7" spans="1:34" s="2235" customFormat="1">
      <c r="A7" s="571"/>
      <c r="B7" s="1658" t="s">
        <v>1411</v>
      </c>
      <c r="C7" s="583"/>
      <c r="D7" s="2410"/>
      <c r="E7" s="2431"/>
      <c r="F7" s="571"/>
      <c r="G7" s="569"/>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row>
    <row r="8" spans="1:34" s="2235" customFormat="1" ht="13.8" thickBot="1">
      <c r="A8" s="571"/>
      <c r="B8" s="1658" t="s">
        <v>1204</v>
      </c>
      <c r="C8" s="583"/>
      <c r="D8" s="2432">
        <f>(D5+D6+D7)</f>
        <v>0</v>
      </c>
      <c r="E8" s="2433">
        <f>(E5+E6+E7)</f>
        <v>15133</v>
      </c>
      <c r="F8" s="571"/>
      <c r="G8" s="569"/>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row>
    <row r="9" spans="1:34" s="2235" customFormat="1" ht="13.8" thickTop="1">
      <c r="A9" s="571"/>
      <c r="B9" s="1930"/>
      <c r="C9" s="607"/>
      <c r="D9" s="2434"/>
      <c r="E9" s="2435"/>
      <c r="F9" s="571"/>
      <c r="G9" s="569"/>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row>
    <row r="10" spans="1:34" s="2235" customFormat="1">
      <c r="A10" s="571"/>
      <c r="B10" s="571"/>
      <c r="C10" s="571"/>
      <c r="D10" s="2436"/>
      <c r="E10" s="2436"/>
      <c r="F10" s="571"/>
      <c r="G10" s="569"/>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row>
    <row r="11" spans="1:34" s="2235" customFormat="1">
      <c r="A11" s="571"/>
      <c r="B11" s="2423" t="s">
        <v>1412</v>
      </c>
      <c r="C11" s="2437"/>
      <c r="D11" s="105">
        <f>D3</f>
        <v>2015</v>
      </c>
      <c r="E11" s="2438">
        <f>E3</f>
        <v>2014</v>
      </c>
      <c r="F11" s="571"/>
      <c r="G11" s="569"/>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row>
    <row r="12" spans="1:34" s="2235" customFormat="1">
      <c r="A12" s="571"/>
      <c r="B12" s="2439"/>
      <c r="C12" s="2440"/>
      <c r="D12" s="2441"/>
      <c r="E12" s="2442"/>
      <c r="F12" s="571"/>
      <c r="G12" s="569"/>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row>
    <row r="13" spans="1:34" s="2235" customFormat="1">
      <c r="A13" s="571"/>
      <c r="B13" s="1658" t="s">
        <v>1413</v>
      </c>
      <c r="C13" s="583"/>
      <c r="D13" s="2407">
        <v>17951</v>
      </c>
      <c r="E13" s="2443">
        <v>2787</v>
      </c>
      <c r="F13" s="571"/>
      <c r="G13" s="569"/>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row>
    <row r="14" spans="1:34" s="2235" customFormat="1">
      <c r="A14" s="571"/>
      <c r="B14" s="1658" t="s">
        <v>1422</v>
      </c>
      <c r="C14" s="583"/>
      <c r="D14" s="2429"/>
      <c r="E14" s="2444"/>
      <c r="F14" s="571"/>
      <c r="G14" s="569"/>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row>
    <row r="15" spans="1:34" s="2235" customFormat="1">
      <c r="A15" s="571"/>
      <c r="B15" s="1658" t="s">
        <v>1423</v>
      </c>
      <c r="C15" s="583"/>
      <c r="D15" s="2407">
        <v>103</v>
      </c>
      <c r="E15" s="2443">
        <v>10</v>
      </c>
      <c r="F15" s="571"/>
      <c r="G15" s="569"/>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row>
    <row r="16" spans="1:34" s="2235" customFormat="1">
      <c r="A16" s="571"/>
      <c r="B16" s="1658" t="s">
        <v>1424</v>
      </c>
      <c r="C16" s="583"/>
      <c r="D16" s="2429"/>
      <c r="E16" s="2444"/>
      <c r="F16" s="571"/>
      <c r="G16" s="569"/>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row>
    <row r="17" spans="1:34" s="2235" customFormat="1">
      <c r="A17" s="571"/>
      <c r="B17" s="1658" t="s">
        <v>1425</v>
      </c>
      <c r="C17" s="583"/>
      <c r="D17" s="2407"/>
      <c r="E17" s="2443">
        <v>64</v>
      </c>
      <c r="F17" s="571"/>
      <c r="G17" s="569"/>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row>
    <row r="18" spans="1:34" s="2235" customFormat="1">
      <c r="A18" s="571"/>
      <c r="B18" s="1658" t="s">
        <v>713</v>
      </c>
      <c r="C18" s="583"/>
      <c r="D18" s="2429">
        <v>148</v>
      </c>
      <c r="E18" s="2444">
        <v>225</v>
      </c>
      <c r="F18" s="571"/>
      <c r="G18" s="569"/>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row>
    <row r="19" spans="1:34" s="2235" customFormat="1">
      <c r="A19" s="571"/>
      <c r="B19" s="1658" t="s">
        <v>714</v>
      </c>
      <c r="C19" s="583"/>
      <c r="D19" s="2407"/>
      <c r="E19" s="2443"/>
      <c r="F19" s="571"/>
      <c r="G19" s="569"/>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row>
    <row r="20" spans="1:34" s="2235" customFormat="1">
      <c r="A20" s="571"/>
      <c r="B20" s="1658" t="s">
        <v>1426</v>
      </c>
      <c r="C20" s="583"/>
      <c r="D20" s="2429">
        <v>3958</v>
      </c>
      <c r="E20" s="2444">
        <v>589</v>
      </c>
      <c r="F20" s="571"/>
      <c r="G20" s="569"/>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row>
    <row r="21" spans="1:34" s="2235" customFormat="1" ht="13.8" thickBot="1">
      <c r="A21" s="571"/>
      <c r="B21" s="1658" t="s">
        <v>1427</v>
      </c>
      <c r="C21" s="583"/>
      <c r="D21" s="2432">
        <f>SUM(D13:D20)</f>
        <v>22160</v>
      </c>
      <c r="E21" s="2433">
        <f>SUM(E13:E20)</f>
        <v>3675</v>
      </c>
      <c r="F21" s="571"/>
      <c r="G21" s="569"/>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row>
    <row r="22" spans="1:34" s="2235" customFormat="1" ht="13.8" thickTop="1">
      <c r="A22" s="571"/>
      <c r="B22" s="1930"/>
      <c r="C22" s="268"/>
      <c r="D22" s="147"/>
      <c r="E22" s="149"/>
      <c r="F22" s="571"/>
      <c r="G22" s="569"/>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row>
    <row r="23" spans="1:34" s="2235" customFormat="1">
      <c r="A23" s="571"/>
      <c r="B23" s="571"/>
      <c r="C23" s="571"/>
      <c r="D23" s="2436"/>
      <c r="E23" s="2436"/>
      <c r="F23" s="571"/>
      <c r="G23" s="569"/>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row>
    <row r="24" spans="1:34" s="2235" customFormat="1">
      <c r="A24" s="571"/>
      <c r="B24" s="2423" t="s">
        <v>490</v>
      </c>
      <c r="C24" s="2437"/>
      <c r="D24" s="105">
        <f>D3</f>
        <v>2015</v>
      </c>
      <c r="E24" s="2438">
        <f>E3</f>
        <v>2014</v>
      </c>
      <c r="F24" s="571"/>
      <c r="G24" s="569"/>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row>
    <row r="25" spans="1:34" s="2235" customFormat="1">
      <c r="A25" s="571"/>
      <c r="B25" s="2439"/>
      <c r="C25" s="2440"/>
      <c r="D25" s="2441"/>
      <c r="E25" s="2442"/>
      <c r="F25" s="571"/>
      <c r="G25" s="569"/>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row>
    <row r="26" spans="1:34" s="2235" customFormat="1">
      <c r="A26" s="571"/>
      <c r="B26" s="1658" t="s">
        <v>1428</v>
      </c>
      <c r="C26" s="583"/>
      <c r="D26" s="2407">
        <v>282120</v>
      </c>
      <c r="E26" s="2443">
        <v>229573</v>
      </c>
      <c r="F26" s="571"/>
      <c r="G26" s="569"/>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row>
    <row r="27" spans="1:34" s="2235" customFormat="1">
      <c r="A27" s="571"/>
      <c r="B27" s="1658" t="s">
        <v>1429</v>
      </c>
      <c r="C27" s="583"/>
      <c r="D27" s="2410"/>
      <c r="E27" s="2445"/>
      <c r="F27" s="571"/>
      <c r="G27" s="569"/>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row>
    <row r="28" spans="1:34" s="2235" customFormat="1" ht="13.8" thickBot="1">
      <c r="A28" s="571"/>
      <c r="B28" s="1658" t="s">
        <v>1430</v>
      </c>
      <c r="C28" s="583"/>
      <c r="D28" s="2432">
        <f>SUM(D26:D27)</f>
        <v>282120</v>
      </c>
      <c r="E28" s="2433">
        <f>SUM(E26:E27)</f>
        <v>229573</v>
      </c>
      <c r="F28" s="571"/>
      <c r="G28" s="569"/>
      <c r="H28" s="570"/>
      <c r="I28" s="570"/>
      <c r="J28" s="570"/>
      <c r="K28" s="570"/>
      <c r="L28" s="570"/>
      <c r="M28" s="570"/>
      <c r="N28" s="570"/>
      <c r="O28" s="570"/>
      <c r="P28" s="570"/>
      <c r="Q28" s="570"/>
      <c r="R28" s="570"/>
      <c r="S28" s="570"/>
      <c r="T28" s="570"/>
      <c r="U28" s="570"/>
      <c r="V28" s="570"/>
      <c r="W28" s="570"/>
      <c r="X28" s="570"/>
      <c r="Y28" s="570"/>
      <c r="Z28" s="570"/>
      <c r="AA28" s="570"/>
      <c r="AB28" s="570"/>
      <c r="AC28" s="570"/>
      <c r="AD28" s="570"/>
      <c r="AE28" s="570"/>
      <c r="AF28" s="570"/>
      <c r="AG28" s="570"/>
      <c r="AH28" s="570"/>
    </row>
    <row r="29" spans="1:34" s="2235" customFormat="1" ht="13.8" thickTop="1">
      <c r="A29" s="571"/>
      <c r="B29" s="1930"/>
      <c r="C29" s="607"/>
      <c r="D29" s="2434"/>
      <c r="E29" s="2435"/>
      <c r="F29" s="571"/>
      <c r="G29" s="569"/>
      <c r="H29" s="570"/>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row>
    <row r="30" spans="1:34" s="2235" customFormat="1">
      <c r="A30" s="571"/>
      <c r="B30" s="571"/>
      <c r="C30" s="571"/>
      <c r="D30" s="2436"/>
      <c r="E30" s="2436"/>
      <c r="F30" s="571"/>
      <c r="G30" s="569"/>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c r="AH30" s="570"/>
    </row>
    <row r="31" spans="1:34" s="2235" customFormat="1" ht="13.5" customHeight="1">
      <c r="A31" s="571"/>
      <c r="B31" s="2423" t="s">
        <v>1431</v>
      </c>
      <c r="C31" s="2424"/>
      <c r="D31" s="105">
        <f>D3</f>
        <v>2015</v>
      </c>
      <c r="E31" s="2438">
        <f>E3</f>
        <v>2014</v>
      </c>
      <c r="F31" s="571"/>
      <c r="G31" s="569"/>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row>
    <row r="32" spans="1:34" s="2235" customFormat="1" ht="13.5" customHeight="1">
      <c r="A32" s="571"/>
      <c r="B32" s="2439"/>
      <c r="C32" s="2446"/>
      <c r="D32" s="2441"/>
      <c r="E32" s="2442"/>
      <c r="F32" s="571"/>
      <c r="G32" s="569"/>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row>
    <row r="33" spans="1:34" s="2235" customFormat="1">
      <c r="A33" s="571"/>
      <c r="B33" s="1658" t="s">
        <v>1432</v>
      </c>
      <c r="C33" s="583"/>
      <c r="D33" s="2407"/>
      <c r="E33" s="2443"/>
      <c r="F33" s="571"/>
      <c r="G33" s="569"/>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row>
    <row r="34" spans="1:34" s="2235" customFormat="1">
      <c r="A34" s="571"/>
      <c r="B34" s="1658" t="s">
        <v>1433</v>
      </c>
      <c r="C34" s="583"/>
      <c r="D34" s="2642">
        <f>'ביאור 3'!C136</f>
        <v>0</v>
      </c>
      <c r="E34" s="2643">
        <f>'ביאור 3'!E136</f>
        <v>0</v>
      </c>
      <c r="F34" s="571"/>
      <c r="G34" s="569"/>
      <c r="H34" s="570"/>
      <c r="I34" s="570"/>
      <c r="J34" s="570"/>
      <c r="K34" s="570"/>
      <c r="L34" s="570"/>
      <c r="M34" s="570"/>
      <c r="N34" s="570"/>
      <c r="O34" s="570"/>
      <c r="P34" s="570"/>
      <c r="Q34" s="570"/>
      <c r="R34" s="570"/>
      <c r="S34" s="570"/>
      <c r="T34" s="570"/>
      <c r="U34" s="570"/>
      <c r="V34" s="570"/>
      <c r="W34" s="570"/>
      <c r="X34" s="570"/>
      <c r="Y34" s="570"/>
      <c r="Z34" s="570"/>
      <c r="AA34" s="570"/>
      <c r="AB34" s="570"/>
      <c r="AC34" s="570"/>
      <c r="AD34" s="570"/>
      <c r="AE34" s="570"/>
      <c r="AF34" s="570"/>
      <c r="AG34" s="570"/>
      <c r="AH34" s="570"/>
    </row>
    <row r="35" spans="1:34" s="2235" customFormat="1">
      <c r="A35" s="571"/>
      <c r="B35" s="2447" t="s">
        <v>350</v>
      </c>
      <c r="C35" s="2448"/>
      <c r="D35" s="2410"/>
      <c r="E35" s="2445"/>
      <c r="F35" s="571"/>
      <c r="G35" s="569"/>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row>
    <row r="36" spans="1:34" s="2235" customFormat="1" ht="13.8" thickBot="1">
      <c r="A36" s="571"/>
      <c r="B36" s="1658" t="s">
        <v>1434</v>
      </c>
      <c r="C36" s="583"/>
      <c r="D36" s="2432">
        <f>SUM(D33:D35)</f>
        <v>0</v>
      </c>
      <c r="E36" s="2433">
        <f>SUM(E33:E35)</f>
        <v>0</v>
      </c>
      <c r="F36" s="571"/>
      <c r="G36" s="569"/>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row>
    <row r="37" spans="1:34" s="2235" customFormat="1" ht="13.8" thickTop="1">
      <c r="A37" s="571"/>
      <c r="B37" s="1930"/>
      <c r="C37" s="268"/>
      <c r="D37" s="268"/>
      <c r="E37" s="269"/>
      <c r="F37" s="571"/>
      <c r="G37" s="569"/>
      <c r="H37" s="570"/>
      <c r="I37" s="570"/>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row>
    <row r="38" spans="1:34" s="2235" customFormat="1" ht="13.8" thickBot="1">
      <c r="A38" s="571"/>
      <c r="B38" s="571"/>
      <c r="C38" s="571"/>
      <c r="D38" s="571"/>
      <c r="E38" s="571"/>
      <c r="F38" s="571"/>
      <c r="G38" s="569"/>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row>
    <row r="39" spans="1:34" ht="13.8" thickTop="1">
      <c r="A39" s="611"/>
      <c r="B39" s="611"/>
      <c r="C39" s="611"/>
      <c r="D39" s="611"/>
      <c r="E39" s="611"/>
      <c r="F39" s="611"/>
    </row>
    <row r="40" spans="1:34">
      <c r="B40" s="2449"/>
      <c r="C40" s="2449"/>
    </row>
  </sheetData>
  <sheetProtection password="83C1" sheet="1" objects="1" scenarios="1"/>
  <mergeCells count="1">
    <mergeCell ref="C1:F1"/>
  </mergeCells>
  <phoneticPr fontId="4" type="noConversion"/>
  <hyperlinks>
    <hyperlink ref="A2" location="'תוכן הענינים'!A1" tooltip="לחץ להצגת גליון תוכן הענינים" display="הצג תוכן ענינים"/>
  </hyperlinks>
  <pageMargins left="0.75" right="0.75" top="1" bottom="0.84" header="0.5" footer="0.5"/>
  <pageSetup paperSize="9" scale="97" orientation="portrait" blackAndWhite="1" horizontalDpi="300" verticalDpi="300" r:id="rId1"/>
  <headerFooter alignWithMargins="0">
    <oddHeader>&amp;L&amp;8&amp;A</oddHeader>
    <oddFooter>&amp;C&amp;8&amp;P</oddFooter>
  </headerFooter>
  <drawing r:id="rId2"/>
  <legacy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2"/>
  <dimension ref="A1:H31"/>
  <sheetViews>
    <sheetView showGridLines="0" showRowColHeaders="0" showZeros="0" rightToLeft="1" showOutlineSymbols="0" zoomScaleNormal="100" workbookViewId="0">
      <selection activeCell="A2" sqref="A2"/>
    </sheetView>
  </sheetViews>
  <sheetFormatPr defaultColWidth="9.109375" defaultRowHeight="13.2"/>
  <cols>
    <col min="1" max="1" width="9.109375" style="947"/>
    <col min="2" max="2" width="55.109375" style="947" customWidth="1"/>
    <col min="3" max="3" width="2.88671875" style="947" customWidth="1"/>
    <col min="4" max="4" width="10.6640625" style="947" customWidth="1"/>
    <col min="5" max="5" width="10.5546875" style="947" customWidth="1"/>
    <col min="6" max="6" width="11.33203125" style="947" customWidth="1"/>
    <col min="7" max="16384" width="9.109375" style="947"/>
  </cols>
  <sheetData>
    <row r="1" spans="1:8" ht="50.25" customHeight="1">
      <c r="A1" s="2450"/>
      <c r="B1" s="2451"/>
      <c r="C1" s="3751" t="str">
        <f>CONCATENATE("דוח גביה וחייבים שנה קודמת - ",'הגדרות כלליות'!D12)</f>
        <v>דוח גביה וחייבים שנה קודמת - 2014</v>
      </c>
      <c r="D1" s="3751"/>
      <c r="E1" s="3751"/>
      <c r="F1" s="3751"/>
      <c r="G1" s="2452"/>
      <c r="H1" s="2453"/>
    </row>
    <row r="2" spans="1:8" ht="20.25" customHeight="1">
      <c r="A2" s="7" t="s">
        <v>339</v>
      </c>
      <c r="B2" s="2454"/>
      <c r="C2" s="2455"/>
      <c r="D2" s="2455"/>
      <c r="E2" s="2455"/>
      <c r="F2" s="2455"/>
      <c r="G2" s="2456"/>
      <c r="H2" s="2453"/>
    </row>
    <row r="3" spans="1:8" ht="12.75" customHeight="1">
      <c r="A3" s="916"/>
      <c r="B3" s="2457"/>
      <c r="C3" s="916"/>
      <c r="D3" s="2458"/>
      <c r="E3" s="2458"/>
      <c r="F3" s="2458"/>
      <c r="G3" s="2458"/>
      <c r="H3" s="2453"/>
    </row>
    <row r="4" spans="1:8" ht="3.75" customHeight="1">
      <c r="A4" s="916"/>
      <c r="B4" s="2457"/>
      <c r="C4" s="916"/>
      <c r="D4" s="2458"/>
      <c r="E4" s="2458"/>
      <c r="F4" s="2458"/>
      <c r="G4" s="2458"/>
      <c r="H4" s="2453"/>
    </row>
    <row r="5" spans="1:8" ht="12" customHeight="1">
      <c r="A5" s="916"/>
      <c r="B5" s="2459" t="str">
        <f>CONCATENATE("ארנונה כללית - ",ShanaKodemet)</f>
        <v>ארנונה כללית - 2014</v>
      </c>
      <c r="C5" s="2460"/>
      <c r="D5" s="2625" t="s">
        <v>1435</v>
      </c>
      <c r="E5" s="2625" t="s">
        <v>1045</v>
      </c>
      <c r="F5" s="2461"/>
      <c r="G5" s="2462"/>
      <c r="H5" s="2453"/>
    </row>
    <row r="6" spans="1:8" ht="10.5" customHeight="1">
      <c r="A6" s="916"/>
      <c r="B6" s="2463"/>
      <c r="C6" s="2464"/>
      <c r="D6" s="2465"/>
      <c r="E6" s="2465"/>
      <c r="F6" s="2466"/>
      <c r="G6" s="2462"/>
      <c r="H6" s="2453"/>
    </row>
    <row r="7" spans="1:8" ht="10.5" customHeight="1">
      <c r="A7" s="916"/>
      <c r="B7" s="2624"/>
      <c r="C7" s="2464"/>
      <c r="D7" s="2465"/>
      <c r="E7" s="2465"/>
      <c r="F7" s="2466"/>
      <c r="G7" s="2462"/>
      <c r="H7" s="2453"/>
    </row>
    <row r="8" spans="1:8">
      <c r="A8" s="916"/>
      <c r="B8" s="2467" t="s">
        <v>1098</v>
      </c>
      <c r="C8" s="2468"/>
      <c r="D8" s="2469">
        <v>283009</v>
      </c>
      <c r="E8" s="2469">
        <v>23434</v>
      </c>
      <c r="F8" s="2470"/>
      <c r="G8" s="916"/>
      <c r="H8" s="2453"/>
    </row>
    <row r="9" spans="1:8">
      <c r="A9" s="916"/>
      <c r="B9" s="2467" t="s">
        <v>67</v>
      </c>
      <c r="C9" s="2468"/>
      <c r="D9" s="2469">
        <v>536921</v>
      </c>
      <c r="E9" s="2469">
        <v>1581</v>
      </c>
      <c r="F9" s="2470"/>
      <c r="G9" s="916"/>
      <c r="H9" s="2453"/>
    </row>
    <row r="10" spans="1:8">
      <c r="A10" s="916"/>
      <c r="B10" s="2467" t="s">
        <v>1159</v>
      </c>
      <c r="C10" s="2468"/>
      <c r="D10" s="2469">
        <v>66218</v>
      </c>
      <c r="E10" s="2469">
        <v>1056</v>
      </c>
      <c r="F10" s="2470"/>
      <c r="G10" s="916"/>
      <c r="H10" s="2453"/>
    </row>
    <row r="11" spans="1:8">
      <c r="A11" s="916"/>
      <c r="B11" s="2467" t="s">
        <v>1436</v>
      </c>
      <c r="C11" s="2468"/>
      <c r="D11" s="2469">
        <v>453833</v>
      </c>
      <c r="E11" s="2469">
        <v>773</v>
      </c>
      <c r="F11" s="2470"/>
      <c r="G11" s="916"/>
      <c r="H11" s="2453"/>
    </row>
    <row r="12" spans="1:8" ht="13.8" thickBot="1">
      <c r="A12" s="916"/>
      <c r="B12" s="2467" t="s">
        <v>782</v>
      </c>
      <c r="C12" s="2468"/>
      <c r="D12" s="2471">
        <f>D8+D9-D10-D11</f>
        <v>299879</v>
      </c>
      <c r="E12" s="2472">
        <f>E8+E9-E10-E11</f>
        <v>23186</v>
      </c>
      <c r="F12" s="2470"/>
      <c r="G12" s="916"/>
      <c r="H12" s="2453"/>
    </row>
    <row r="13" spans="1:8" ht="13.8" thickTop="1">
      <c r="A13" s="916"/>
      <c r="B13" s="2482"/>
      <c r="C13" s="2483"/>
      <c r="D13" s="2484"/>
      <c r="E13" s="2484"/>
      <c r="F13" s="2485"/>
      <c r="G13" s="916"/>
      <c r="H13" s="2453"/>
    </row>
    <row r="14" spans="1:8">
      <c r="A14" s="916"/>
      <c r="B14" s="2628"/>
      <c r="C14" s="2626"/>
      <c r="D14" s="2627"/>
      <c r="E14" s="2627"/>
      <c r="F14" s="2629"/>
      <c r="G14" s="916"/>
      <c r="H14" s="2453"/>
    </row>
    <row r="15" spans="1:8">
      <c r="A15" s="916"/>
      <c r="B15" s="2459" t="str">
        <f>CONCATENATE("ארנונה למגורים - ",ShanaKodemet)</f>
        <v>ארנונה למגורים - 2014</v>
      </c>
      <c r="C15" s="2460"/>
      <c r="D15" s="2625" t="s">
        <v>1435</v>
      </c>
      <c r="E15" s="2625" t="s">
        <v>1045</v>
      </c>
      <c r="F15" s="2461"/>
      <c r="G15" s="916"/>
      <c r="H15" s="2453"/>
    </row>
    <row r="16" spans="1:8">
      <c r="A16" s="916"/>
      <c r="B16" s="2473"/>
      <c r="C16" s="2474"/>
      <c r="D16" s="252"/>
      <c r="E16" s="252"/>
      <c r="F16" s="2470"/>
      <c r="G16" s="916"/>
      <c r="H16" s="2453"/>
    </row>
    <row r="17" spans="1:8">
      <c r="A17" s="916"/>
      <c r="B17" s="2475" t="s">
        <v>808</v>
      </c>
      <c r="C17" s="2476"/>
      <c r="D17" s="2411">
        <f>'נספח א'!N9</f>
        <v>211784</v>
      </c>
      <c r="E17" s="2477"/>
      <c r="F17" s="2470"/>
      <c r="G17" s="916"/>
      <c r="H17" s="2453"/>
    </row>
    <row r="18" spans="1:8">
      <c r="A18" s="916"/>
      <c r="B18" s="2467" t="s">
        <v>1437</v>
      </c>
      <c r="C18" s="2468"/>
      <c r="D18" s="2478"/>
      <c r="E18" s="2469"/>
      <c r="F18" s="2470"/>
      <c r="G18" s="916"/>
      <c r="H18" s="2453"/>
    </row>
    <row r="19" spans="1:8">
      <c r="A19" s="916"/>
      <c r="B19" s="2467" t="s">
        <v>1438</v>
      </c>
      <c r="C19" s="2468"/>
      <c r="D19" s="2478">
        <v>1118</v>
      </c>
      <c r="E19" s="2469">
        <v>1486</v>
      </c>
      <c r="F19" s="2470"/>
      <c r="G19" s="916"/>
      <c r="H19" s="2453"/>
    </row>
    <row r="20" spans="1:8">
      <c r="A20" s="916"/>
      <c r="B20" s="2467" t="s">
        <v>1439</v>
      </c>
      <c r="C20" s="2468"/>
      <c r="D20" s="2478">
        <v>165936</v>
      </c>
      <c r="E20" s="2469"/>
      <c r="F20" s="2470"/>
      <c r="G20" s="916"/>
      <c r="H20" s="2453"/>
    </row>
    <row r="21" spans="1:8">
      <c r="A21" s="916"/>
      <c r="B21" s="2467" t="s">
        <v>1440</v>
      </c>
      <c r="C21" s="2468"/>
      <c r="D21" s="2478">
        <v>12801</v>
      </c>
      <c r="E21" s="2469">
        <v>773</v>
      </c>
      <c r="F21" s="2470"/>
      <c r="G21" s="916"/>
      <c r="H21" s="2453"/>
    </row>
    <row r="22" spans="1:8">
      <c r="A22" s="916"/>
      <c r="B22" s="2482"/>
      <c r="C22" s="2483"/>
      <c r="D22" s="2484"/>
      <c r="E22" s="2484"/>
      <c r="F22" s="2485"/>
      <c r="G22" s="916"/>
      <c r="H22" s="2453"/>
    </row>
    <row r="23" spans="1:8">
      <c r="A23" s="916"/>
      <c r="B23" s="2628"/>
      <c r="C23" s="2626"/>
      <c r="D23" s="2627"/>
      <c r="E23" s="2627"/>
      <c r="F23" s="2629"/>
      <c r="G23" s="916"/>
      <c r="H23" s="2453"/>
    </row>
    <row r="24" spans="1:8">
      <c r="A24" s="916"/>
      <c r="B24" s="2459" t="s">
        <v>1441</v>
      </c>
      <c r="C24" s="2460"/>
      <c r="D24" s="2625">
        <f>'הגדרות כלליות'!$D$10</f>
        <v>2015</v>
      </c>
      <c r="E24" s="2625">
        <f>'הגדרות כלליות'!$D$12</f>
        <v>2014</v>
      </c>
      <c r="F24" s="2461"/>
      <c r="G24" s="916"/>
      <c r="H24" s="2453"/>
    </row>
    <row r="25" spans="1:8">
      <c r="A25" s="916"/>
      <c r="B25" s="2473"/>
      <c r="C25" s="2474"/>
      <c r="D25" s="2479"/>
      <c r="E25" s="2479"/>
      <c r="F25" s="2470"/>
      <c r="G25" s="916"/>
      <c r="H25" s="2453"/>
    </row>
    <row r="26" spans="1:8" ht="26.4">
      <c r="A26" s="916"/>
      <c r="B26" s="2480" t="s">
        <v>18</v>
      </c>
      <c r="C26" s="2481"/>
      <c r="D26" s="2411">
        <f>'נספח א'!D9*1000</f>
        <v>3704870</v>
      </c>
      <c r="E26" s="2411">
        <f>'נספח א'!F9*1000</f>
        <v>3653000</v>
      </c>
      <c r="F26" s="2470"/>
      <c r="G26" s="916"/>
      <c r="H26" s="2453"/>
    </row>
    <row r="27" spans="1:8" ht="21.75" customHeight="1">
      <c r="A27" s="916"/>
      <c r="B27" s="3749" t="s">
        <v>19</v>
      </c>
      <c r="C27" s="3750"/>
      <c r="D27" s="2411">
        <f>'נספח א'!L9</f>
        <v>216971.23</v>
      </c>
      <c r="E27" s="2411">
        <f>'נספח א'!N9</f>
        <v>211784</v>
      </c>
      <c r="F27" s="2470"/>
      <c r="G27" s="916"/>
      <c r="H27" s="2453"/>
    </row>
    <row r="28" spans="1:8">
      <c r="A28" s="916"/>
      <c r="B28" s="2482"/>
      <c r="C28" s="2483"/>
      <c r="D28" s="2484"/>
      <c r="E28" s="2484"/>
      <c r="F28" s="2485"/>
      <c r="G28" s="916"/>
      <c r="H28" s="2453"/>
    </row>
    <row r="29" spans="1:8">
      <c r="A29" s="916"/>
      <c r="B29" s="916"/>
      <c r="C29" s="2486"/>
      <c r="D29" s="916"/>
      <c r="E29" s="916"/>
      <c r="F29" s="916"/>
      <c r="G29" s="916"/>
      <c r="H29" s="2453"/>
    </row>
    <row r="30" spans="1:8" ht="13.8" thickBot="1">
      <c r="A30" s="2487"/>
      <c r="B30" s="916"/>
      <c r="C30" s="2486"/>
      <c r="D30" s="916"/>
      <c r="E30" s="916"/>
      <c r="F30" s="916"/>
      <c r="G30" s="916"/>
      <c r="H30" s="2453"/>
    </row>
    <row r="31" spans="1:8" ht="13.8" thickTop="1">
      <c r="B31" s="2488"/>
      <c r="C31" s="2488"/>
      <c r="D31" s="2488"/>
      <c r="E31" s="2488"/>
      <c r="F31" s="2488"/>
      <c r="G31" s="2488"/>
    </row>
  </sheetData>
  <sheetProtection password="83C1" sheet="1" objects="1" scenarios="1"/>
  <mergeCells count="2">
    <mergeCell ref="B27:C27"/>
    <mergeCell ref="C1:F1"/>
  </mergeCells>
  <phoneticPr fontId="4" type="noConversion"/>
  <hyperlinks>
    <hyperlink ref="A2" location="'תוכן הענינים'!A1" tooltip="לחץ להצגת גליון תוכן הענינים" display="הצג תוכן ענינים"/>
  </hyperlinks>
  <pageMargins left="0.75" right="0.53" top="1.03" bottom="1" header="0.5" footer="0.5"/>
  <pageSetup paperSize="9" scale="89" orientation="portrait" blackAndWhite="1" r:id="rId1"/>
  <headerFooter alignWithMargins="0">
    <oddHeader>&amp;L&amp;8&amp;A</oddHeader>
    <oddFooter>&amp;C&amp;P</oddFooter>
  </headerFooter>
  <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3">
    <pageSetUpPr autoPageBreaks="0"/>
  </sheetPr>
  <dimension ref="A1:I87"/>
  <sheetViews>
    <sheetView showGridLines="0" showRowColHeaders="0" showZeros="0" rightToLeft="1" showOutlineSymbols="0" zoomScaleNormal="100" workbookViewId="0">
      <selection activeCell="A3" sqref="A3"/>
    </sheetView>
  </sheetViews>
  <sheetFormatPr defaultColWidth="9.109375" defaultRowHeight="13.2"/>
  <cols>
    <col min="1" max="1" width="9.109375" style="570"/>
    <col min="2" max="2" width="32.33203125" style="570" customWidth="1"/>
    <col min="3" max="3" width="15.6640625" style="570" bestFit="1" customWidth="1"/>
    <col min="4" max="5" width="14.88671875" style="570" bestFit="1" customWidth="1"/>
    <col min="6" max="6" width="2" style="570" customWidth="1"/>
    <col min="7" max="7" width="9.109375" style="570"/>
    <col min="8" max="8" width="12.109375" style="570" customWidth="1"/>
    <col min="9" max="16384" width="9.109375" style="570"/>
  </cols>
  <sheetData>
    <row r="1" spans="1:9" ht="22.5" customHeight="1">
      <c r="A1" s="567"/>
      <c r="B1" s="567"/>
      <c r="C1" s="3752" t="s">
        <v>927</v>
      </c>
      <c r="D1" s="3334"/>
      <c r="E1" s="3334"/>
      <c r="F1" s="3334"/>
      <c r="G1" s="3334"/>
      <c r="H1" s="3334"/>
      <c r="I1" s="569"/>
    </row>
    <row r="2" spans="1:9" ht="21.75" customHeight="1">
      <c r="A2" s="567"/>
      <c r="B2" s="186"/>
      <c r="C2" s="3752" t="s">
        <v>63</v>
      </c>
      <c r="D2" s="3334"/>
      <c r="E2" s="3334"/>
      <c r="F2" s="3334"/>
      <c r="G2" s="3334"/>
      <c r="H2" s="3334"/>
      <c r="I2" s="569"/>
    </row>
    <row r="3" spans="1:9" ht="21.75" customHeight="1">
      <c r="A3" s="7" t="s">
        <v>339</v>
      </c>
      <c r="B3" s="193"/>
      <c r="C3" s="2489"/>
      <c r="D3" s="803"/>
      <c r="E3" s="803"/>
      <c r="F3" s="803"/>
      <c r="G3" s="803"/>
      <c r="H3" s="803"/>
      <c r="I3" s="569"/>
    </row>
    <row r="4" spans="1:9" ht="13.5" customHeight="1">
      <c r="A4" s="571"/>
      <c r="B4" s="644" t="s">
        <v>926</v>
      </c>
      <c r="C4" s="571"/>
      <c r="D4" s="571"/>
      <c r="E4" s="571"/>
      <c r="F4" s="571"/>
      <c r="G4" s="571"/>
      <c r="H4" s="571"/>
      <c r="I4" s="569"/>
    </row>
    <row r="5" spans="1:9" ht="24.75" customHeight="1">
      <c r="A5" s="571"/>
      <c r="B5" s="193" t="s">
        <v>61</v>
      </c>
      <c r="C5" s="571"/>
      <c r="D5" s="571"/>
      <c r="E5" s="571"/>
      <c r="F5" s="571"/>
      <c r="G5" s="571"/>
      <c r="H5" s="571"/>
      <c r="I5" s="569"/>
    </row>
    <row r="6" spans="1:9" ht="26.25" customHeight="1">
      <c r="A6" s="571"/>
      <c r="B6" s="2636" t="s">
        <v>1506</v>
      </c>
      <c r="C6" s="649" t="str">
        <f>CONCATENATE("תקציב ",'הגדרות כלליות'!D10)</f>
        <v>תקציב 2015</v>
      </c>
      <c r="D6" s="649" t="str">
        <f>CONCATENATE("ביצוע ",'הגדרות כלליות'!D10)</f>
        <v>ביצוע 2015</v>
      </c>
      <c r="E6" s="650" t="str">
        <f>CONCATENATE("ביצוע ",'הגדרות כלליות'!D12)</f>
        <v>ביצוע 2014</v>
      </c>
      <c r="F6" s="650" t="s">
        <v>506</v>
      </c>
      <c r="G6" s="571"/>
      <c r="H6" s="571"/>
      <c r="I6" s="569"/>
    </row>
    <row r="7" spans="1:9">
      <c r="A7" s="571"/>
      <c r="B7" s="2439"/>
      <c r="C7" s="2490"/>
      <c r="D7" s="2490"/>
      <c r="E7" s="2490"/>
      <c r="F7" s="2491"/>
      <c r="G7" s="571"/>
      <c r="H7" s="571"/>
      <c r="I7" s="569"/>
    </row>
    <row r="8" spans="1:9">
      <c r="A8" s="571"/>
      <c r="B8" s="1890" t="s">
        <v>1442</v>
      </c>
      <c r="C8" s="2492">
        <v>463500</v>
      </c>
      <c r="D8" s="2492">
        <v>492711</v>
      </c>
      <c r="E8" s="2492">
        <v>453833</v>
      </c>
      <c r="F8" s="2941"/>
      <c r="G8" s="571"/>
      <c r="H8" s="571"/>
      <c r="I8" s="569"/>
    </row>
    <row r="9" spans="1:9">
      <c r="A9" s="571"/>
      <c r="B9" s="2640" t="s">
        <v>1503</v>
      </c>
      <c r="C9" s="2492">
        <v>2610</v>
      </c>
      <c r="D9" s="2492">
        <v>2879</v>
      </c>
      <c r="E9" s="2492">
        <v>2858</v>
      </c>
      <c r="F9" s="2941"/>
      <c r="G9" s="571"/>
      <c r="H9" s="571"/>
      <c r="I9" s="569"/>
    </row>
    <row r="10" spans="1:9">
      <c r="A10" s="571"/>
      <c r="B10" s="1890" t="s">
        <v>835</v>
      </c>
      <c r="C10" s="2492">
        <v>6637</v>
      </c>
      <c r="D10" s="2492">
        <v>6796</v>
      </c>
      <c r="E10" s="2492">
        <v>7107</v>
      </c>
      <c r="F10" s="2941"/>
      <c r="G10" s="571"/>
      <c r="H10" s="571"/>
      <c r="I10" s="569"/>
    </row>
    <row r="11" spans="1:9">
      <c r="A11" s="571"/>
      <c r="B11" s="1890" t="s">
        <v>837</v>
      </c>
      <c r="C11" s="2492">
        <v>1776</v>
      </c>
      <c r="D11" s="2492">
        <v>1358</v>
      </c>
      <c r="E11" s="2492">
        <v>1511</v>
      </c>
      <c r="F11" s="2941"/>
      <c r="G11" s="571"/>
      <c r="H11" s="571"/>
      <c r="I11" s="569"/>
    </row>
    <row r="12" spans="1:9">
      <c r="A12" s="571"/>
      <c r="B12" s="2640" t="s">
        <v>1504</v>
      </c>
      <c r="C12" s="2492">
        <v>78644</v>
      </c>
      <c r="D12" s="2492">
        <v>78771</v>
      </c>
      <c r="E12" s="2492">
        <v>69089</v>
      </c>
      <c r="F12" s="2941"/>
      <c r="G12" s="571"/>
      <c r="H12" s="571"/>
      <c r="I12" s="569"/>
    </row>
    <row r="13" spans="1:9">
      <c r="A13" s="571"/>
      <c r="B13" s="1890" t="s">
        <v>1444</v>
      </c>
      <c r="C13" s="2492">
        <v>51000</v>
      </c>
      <c r="D13" s="2492">
        <v>47195</v>
      </c>
      <c r="E13" s="2492">
        <v>46221</v>
      </c>
      <c r="F13" s="2941"/>
      <c r="G13" s="571"/>
      <c r="H13" s="571"/>
      <c r="I13" s="569"/>
    </row>
    <row r="14" spans="1:9">
      <c r="A14" s="571"/>
      <c r="B14" s="2640" t="s">
        <v>1505</v>
      </c>
      <c r="C14" s="2492">
        <v>38144</v>
      </c>
      <c r="D14" s="2492">
        <v>32925</v>
      </c>
      <c r="E14" s="2492">
        <v>33100</v>
      </c>
      <c r="F14" s="2941"/>
      <c r="G14" s="571"/>
      <c r="H14" s="571"/>
      <c r="I14" s="569"/>
    </row>
    <row r="15" spans="1:9">
      <c r="A15" s="571"/>
      <c r="B15" s="2493" t="s">
        <v>350</v>
      </c>
      <c r="C15" s="2492"/>
      <c r="D15" s="2492"/>
      <c r="E15" s="2492"/>
      <c r="F15" s="2941"/>
      <c r="G15" s="571"/>
      <c r="H15" s="571"/>
      <c r="I15" s="569"/>
    </row>
    <row r="16" spans="1:9" ht="13.8" thickBot="1">
      <c r="A16" s="571"/>
      <c r="B16" s="1890" t="s">
        <v>1445</v>
      </c>
      <c r="C16" s="2432">
        <f>SUM(C8:C15)</f>
        <v>642311</v>
      </c>
      <c r="D16" s="2432">
        <f>SUM(D8:D15)</f>
        <v>662635</v>
      </c>
      <c r="E16" s="2432">
        <f>SUM(E8:E15)</f>
        <v>613719</v>
      </c>
      <c r="F16" s="2941"/>
      <c r="G16" s="571"/>
      <c r="H16" s="571"/>
      <c r="I16" s="569"/>
    </row>
    <row r="17" spans="1:9" ht="13.8" thickTop="1">
      <c r="A17" s="571"/>
      <c r="B17" s="2494"/>
      <c r="C17" s="607"/>
      <c r="D17" s="607"/>
      <c r="E17" s="607"/>
      <c r="F17" s="609"/>
      <c r="G17" s="571"/>
      <c r="H17" s="571"/>
      <c r="I17" s="569"/>
    </row>
    <row r="18" spans="1:9" ht="8.25" customHeight="1">
      <c r="A18" s="571"/>
      <c r="B18" s="571"/>
      <c r="C18" s="571"/>
      <c r="D18" s="571"/>
      <c r="E18" s="571"/>
      <c r="F18" s="571"/>
      <c r="G18" s="571"/>
      <c r="H18" s="571"/>
      <c r="I18" s="569"/>
    </row>
    <row r="19" spans="1:9" ht="9" customHeight="1">
      <c r="A19" s="571"/>
      <c r="B19" s="193"/>
      <c r="C19" s="571"/>
      <c r="D19" s="571"/>
      <c r="E19" s="571"/>
      <c r="F19" s="571"/>
      <c r="G19" s="571"/>
      <c r="H19" s="571"/>
      <c r="I19" s="569"/>
    </row>
    <row r="20" spans="1:9" ht="25.5" customHeight="1">
      <c r="A20" s="571"/>
      <c r="B20" s="2636" t="s">
        <v>1</v>
      </c>
      <c r="C20" s="649" t="str">
        <f>C6</f>
        <v>תקציב 2015</v>
      </c>
      <c r="D20" s="649" t="str">
        <f>D6</f>
        <v>ביצוע 2015</v>
      </c>
      <c r="E20" s="650" t="str">
        <f>E6</f>
        <v>ביצוע 2014</v>
      </c>
      <c r="F20" s="650" t="s">
        <v>506</v>
      </c>
      <c r="G20" s="571"/>
      <c r="H20" s="571"/>
      <c r="I20" s="569"/>
    </row>
    <row r="21" spans="1:9">
      <c r="A21" s="571"/>
      <c r="B21" s="2495"/>
      <c r="C21" s="2490"/>
      <c r="D21" s="2490"/>
      <c r="E21" s="2490"/>
      <c r="F21" s="2491"/>
      <c r="G21" s="571"/>
      <c r="H21" s="571"/>
      <c r="I21" s="569"/>
    </row>
    <row r="22" spans="1:9">
      <c r="A22" s="571"/>
      <c r="B22" s="2640" t="s">
        <v>2</v>
      </c>
      <c r="C22" s="2492">
        <v>136736</v>
      </c>
      <c r="D22" s="2492">
        <v>135863</v>
      </c>
      <c r="E22" s="2492">
        <v>130249</v>
      </c>
      <c r="F22" s="2941"/>
      <c r="G22" s="571"/>
      <c r="H22" s="571"/>
      <c r="I22" s="569"/>
    </row>
    <row r="23" spans="1:9">
      <c r="A23" s="571"/>
      <c r="B23" s="2640" t="s">
        <v>3</v>
      </c>
      <c r="C23" s="2492">
        <v>52388</v>
      </c>
      <c r="D23" s="2492">
        <v>51067</v>
      </c>
      <c r="E23" s="2492">
        <v>47943</v>
      </c>
      <c r="F23" s="2941"/>
      <c r="G23" s="571"/>
      <c r="H23" s="571"/>
      <c r="I23" s="569"/>
    </row>
    <row r="24" spans="1:9">
      <c r="A24" s="571"/>
      <c r="B24" s="2640" t="s">
        <v>4</v>
      </c>
      <c r="C24" s="2492">
        <v>3304</v>
      </c>
      <c r="D24" s="2492">
        <v>2896</v>
      </c>
      <c r="E24" s="2492">
        <v>3457</v>
      </c>
      <c r="F24" s="2941"/>
      <c r="G24" s="571"/>
      <c r="H24" s="571"/>
      <c r="I24" s="569"/>
    </row>
    <row r="25" spans="1:9">
      <c r="A25" s="571"/>
      <c r="B25" s="2493" t="s">
        <v>350</v>
      </c>
      <c r="C25" s="2492"/>
      <c r="D25" s="2492"/>
      <c r="E25" s="2492"/>
      <c r="F25" s="2941"/>
      <c r="G25" s="571"/>
      <c r="H25" s="571"/>
      <c r="I25" s="569"/>
    </row>
    <row r="26" spans="1:9">
      <c r="A26" s="571"/>
      <c r="B26" s="2493" t="s">
        <v>350</v>
      </c>
      <c r="C26" s="2492"/>
      <c r="D26" s="2492"/>
      <c r="E26" s="2492"/>
      <c r="F26" s="2941"/>
      <c r="G26" s="571"/>
      <c r="H26" s="571"/>
      <c r="I26" s="569"/>
    </row>
    <row r="27" spans="1:9" ht="13.8" thickBot="1">
      <c r="A27" s="571"/>
      <c r="B27" s="1890" t="s">
        <v>1446</v>
      </c>
      <c r="C27" s="2432">
        <f>SUM(C22:C26)</f>
        <v>192428</v>
      </c>
      <c r="D27" s="2432">
        <f>SUM(D22:D26)</f>
        <v>189826</v>
      </c>
      <c r="E27" s="2432">
        <f>SUM(E22:E26)</f>
        <v>181649</v>
      </c>
      <c r="F27" s="2941"/>
      <c r="G27" s="571"/>
      <c r="H27" s="571"/>
      <c r="I27" s="569"/>
    </row>
    <row r="28" spans="1:9" ht="13.8" thickTop="1">
      <c r="A28" s="571"/>
      <c r="B28" s="2494"/>
      <c r="C28" s="607"/>
      <c r="D28" s="607"/>
      <c r="E28" s="607"/>
      <c r="F28" s="609"/>
      <c r="G28" s="571"/>
      <c r="H28" s="571"/>
      <c r="I28" s="569"/>
    </row>
    <row r="29" spans="1:9">
      <c r="A29" s="571"/>
      <c r="B29" s="571"/>
      <c r="C29" s="571"/>
      <c r="D29" s="571"/>
      <c r="E29" s="571"/>
      <c r="F29" s="571"/>
      <c r="G29" s="571"/>
      <c r="H29" s="571"/>
      <c r="I29" s="569"/>
    </row>
    <row r="30" spans="1:9" ht="25.5" customHeight="1">
      <c r="A30" s="571"/>
      <c r="B30" s="670" t="s">
        <v>62</v>
      </c>
      <c r="C30" s="571"/>
      <c r="D30" s="571"/>
      <c r="E30" s="571"/>
      <c r="F30" s="571"/>
      <c r="G30" s="571"/>
      <c r="H30" s="571"/>
      <c r="I30" s="569"/>
    </row>
    <row r="31" spans="1:9">
      <c r="A31" s="571"/>
      <c r="B31" s="2423" t="s">
        <v>1490</v>
      </c>
      <c r="C31" s="2424" t="str">
        <f>C6</f>
        <v>תקציב 2015</v>
      </c>
      <c r="D31" s="2424" t="str">
        <f>D6</f>
        <v>ביצוע 2015</v>
      </c>
      <c r="E31" s="650" t="str">
        <f>E6</f>
        <v>ביצוע 2014</v>
      </c>
      <c r="F31" s="650" t="s">
        <v>506</v>
      </c>
      <c r="G31" s="571"/>
      <c r="H31" s="571"/>
      <c r="I31" s="569"/>
    </row>
    <row r="32" spans="1:9">
      <c r="A32" s="571"/>
      <c r="B32" s="2496"/>
      <c r="C32" s="2497"/>
      <c r="D32" s="2497"/>
      <c r="E32" s="2490"/>
      <c r="F32" s="2491"/>
      <c r="G32" s="571"/>
      <c r="H32" s="571"/>
      <c r="I32" s="569"/>
    </row>
    <row r="33" spans="1:9">
      <c r="A33" s="571"/>
      <c r="B33" s="2640" t="s">
        <v>1491</v>
      </c>
      <c r="C33" s="2492">
        <v>129539</v>
      </c>
      <c r="D33" s="2492">
        <v>124955</v>
      </c>
      <c r="E33" s="2492">
        <v>119418</v>
      </c>
      <c r="F33" s="2941"/>
      <c r="G33" s="571"/>
      <c r="H33" s="571"/>
      <c r="I33" s="569"/>
    </row>
    <row r="34" spans="1:9">
      <c r="A34" s="571"/>
      <c r="B34" s="2640" t="s">
        <v>1493</v>
      </c>
      <c r="C34" s="2492">
        <v>75381</v>
      </c>
      <c r="D34" s="2492">
        <v>70463</v>
      </c>
      <c r="E34" s="2492">
        <v>67348</v>
      </c>
      <c r="F34" s="2941"/>
      <c r="G34" s="571"/>
      <c r="H34" s="571"/>
      <c r="I34" s="569"/>
    </row>
    <row r="35" spans="1:9">
      <c r="A35" s="571"/>
      <c r="B35" s="2640" t="s">
        <v>1494</v>
      </c>
      <c r="C35" s="2492">
        <v>6864</v>
      </c>
      <c r="D35" s="2492">
        <v>5894</v>
      </c>
      <c r="E35" s="2492">
        <v>5316</v>
      </c>
      <c r="F35" s="2941"/>
      <c r="G35" s="571"/>
      <c r="H35" s="571"/>
      <c r="I35" s="569"/>
    </row>
    <row r="36" spans="1:9">
      <c r="A36" s="571"/>
      <c r="B36" s="1890" t="s">
        <v>1447</v>
      </c>
      <c r="C36" s="2492"/>
      <c r="D36" s="2492"/>
      <c r="E36" s="2492"/>
      <c r="F36" s="2941"/>
      <c r="G36" s="571"/>
      <c r="H36" s="571"/>
      <c r="I36" s="569"/>
    </row>
    <row r="37" spans="1:9">
      <c r="A37" s="571"/>
      <c r="B37" s="2447" t="s">
        <v>350</v>
      </c>
      <c r="C37" s="2492"/>
      <c r="D37" s="2492"/>
      <c r="E37" s="2492"/>
      <c r="F37" s="2941"/>
      <c r="G37" s="571"/>
      <c r="H37" s="571"/>
      <c r="I37" s="569"/>
    </row>
    <row r="38" spans="1:9">
      <c r="A38" s="571"/>
      <c r="B38" s="2447" t="s">
        <v>350</v>
      </c>
      <c r="C38" s="2492"/>
      <c r="D38" s="2492"/>
      <c r="E38" s="2492"/>
      <c r="F38" s="2941"/>
      <c r="G38" s="571"/>
      <c r="H38" s="571"/>
      <c r="I38" s="569"/>
    </row>
    <row r="39" spans="1:9" ht="13.8" thickBot="1">
      <c r="A39" s="571"/>
      <c r="B39" s="2640" t="s">
        <v>1492</v>
      </c>
      <c r="C39" s="2432">
        <f>SUM(C33:C38)</f>
        <v>211784</v>
      </c>
      <c r="D39" s="2432">
        <f>SUM(D33:D38)</f>
        <v>201312</v>
      </c>
      <c r="E39" s="2432">
        <f>SUM(E33:E38)</f>
        <v>192082</v>
      </c>
      <c r="F39" s="2941"/>
      <c r="G39" s="571"/>
      <c r="H39" s="571"/>
      <c r="I39" s="569"/>
    </row>
    <row r="40" spans="1:9" ht="13.8" thickTop="1">
      <c r="A40" s="571"/>
      <c r="B40" s="2494"/>
      <c r="C40" s="607"/>
      <c r="D40" s="607"/>
      <c r="E40" s="607"/>
      <c r="F40" s="609"/>
      <c r="G40" s="571"/>
      <c r="H40" s="571"/>
      <c r="I40" s="569"/>
    </row>
    <row r="41" spans="1:9">
      <c r="A41" s="571"/>
      <c r="B41" s="571"/>
      <c r="C41" s="571"/>
      <c r="D41" s="571"/>
      <c r="E41" s="571"/>
      <c r="F41" s="571"/>
      <c r="G41" s="571"/>
      <c r="H41" s="571"/>
      <c r="I41" s="569"/>
    </row>
    <row r="42" spans="1:9">
      <c r="A42" s="571"/>
      <c r="B42" s="2423" t="s">
        <v>1500</v>
      </c>
      <c r="C42" s="2424" t="str">
        <f>C6</f>
        <v>תקציב 2015</v>
      </c>
      <c r="D42" s="2424" t="str">
        <f>D6</f>
        <v>ביצוע 2015</v>
      </c>
      <c r="E42" s="650" t="str">
        <f>E6</f>
        <v>ביצוע 2014</v>
      </c>
      <c r="F42" s="650" t="s">
        <v>506</v>
      </c>
      <c r="G42" s="571"/>
      <c r="H42" s="571"/>
      <c r="I42" s="569"/>
    </row>
    <row r="43" spans="1:9">
      <c r="A43" s="571"/>
      <c r="B43" s="2439"/>
      <c r="C43" s="2446"/>
      <c r="D43" s="2446"/>
      <c r="E43" s="2490"/>
      <c r="F43" s="2491"/>
      <c r="G43" s="571"/>
      <c r="H43" s="571"/>
      <c r="I43" s="569"/>
    </row>
    <row r="44" spans="1:9" ht="26.4">
      <c r="A44" s="571"/>
      <c r="B44" s="2637" t="s">
        <v>1507</v>
      </c>
      <c r="C44" s="2492">
        <v>54023</v>
      </c>
      <c r="D44" s="2492">
        <v>46474</v>
      </c>
      <c r="E44" s="2492">
        <v>47681</v>
      </c>
      <c r="F44" s="2941"/>
      <c r="G44" s="571"/>
      <c r="H44" s="571"/>
      <c r="I44" s="569"/>
    </row>
    <row r="45" spans="1:9">
      <c r="A45" s="571"/>
      <c r="B45" s="2447" t="s">
        <v>350</v>
      </c>
      <c r="C45" s="2492"/>
      <c r="D45" s="2492"/>
      <c r="E45" s="2492"/>
      <c r="F45" s="2941"/>
      <c r="G45" s="571"/>
      <c r="H45" s="571"/>
      <c r="I45" s="569"/>
    </row>
    <row r="46" spans="1:9">
      <c r="A46" s="571"/>
      <c r="B46" s="2447" t="s">
        <v>350</v>
      </c>
      <c r="C46" s="2498"/>
      <c r="D46" s="2498"/>
      <c r="E46" s="2492"/>
      <c r="F46" s="2941"/>
      <c r="G46" s="571"/>
      <c r="H46" s="571"/>
      <c r="I46" s="569"/>
    </row>
    <row r="47" spans="1:9" ht="13.8" thickBot="1">
      <c r="A47" s="571"/>
      <c r="B47" s="1890" t="s">
        <v>1449</v>
      </c>
      <c r="C47" s="2432">
        <f>SUM(C44:C46)</f>
        <v>54023</v>
      </c>
      <c r="D47" s="2432">
        <f>SUM(D44:D46)</f>
        <v>46474</v>
      </c>
      <c r="E47" s="2432">
        <f>SUM(E44:E46)</f>
        <v>47681</v>
      </c>
      <c r="F47" s="2941"/>
      <c r="G47" s="571"/>
      <c r="H47" s="571"/>
      <c r="I47" s="569"/>
    </row>
    <row r="48" spans="1:9" ht="13.8" thickTop="1">
      <c r="A48" s="571"/>
      <c r="B48" s="2494"/>
      <c r="C48" s="607"/>
      <c r="D48" s="607"/>
      <c r="E48" s="607"/>
      <c r="F48" s="609"/>
      <c r="G48" s="571"/>
      <c r="H48" s="571"/>
      <c r="I48" s="569"/>
    </row>
    <row r="49" spans="1:9">
      <c r="A49" s="571"/>
      <c r="B49" s="571"/>
      <c r="C49" s="571"/>
      <c r="D49" s="571"/>
      <c r="E49" s="571"/>
      <c r="F49" s="571"/>
      <c r="G49" s="571"/>
      <c r="H49" s="571"/>
      <c r="I49" s="569"/>
    </row>
    <row r="50" spans="1:9">
      <c r="A50" s="571"/>
      <c r="B50" s="2423" t="s">
        <v>1495</v>
      </c>
      <c r="C50" s="2424" t="str">
        <f>C6</f>
        <v>תקציב 2015</v>
      </c>
      <c r="D50" s="2424" t="str">
        <f>D6</f>
        <v>ביצוע 2015</v>
      </c>
      <c r="E50" s="650" t="str">
        <f>E6</f>
        <v>ביצוע 2014</v>
      </c>
      <c r="F50" s="650" t="s">
        <v>506</v>
      </c>
      <c r="G50" s="571"/>
      <c r="H50" s="571"/>
      <c r="I50" s="569"/>
    </row>
    <row r="51" spans="1:9">
      <c r="A51" s="571"/>
      <c r="B51" s="2439"/>
      <c r="C51" s="2446"/>
      <c r="D51" s="2446"/>
      <c r="E51" s="2490"/>
      <c r="F51" s="2491"/>
      <c r="G51" s="571"/>
      <c r="H51" s="571"/>
      <c r="I51" s="569"/>
    </row>
    <row r="52" spans="1:9">
      <c r="A52" s="571"/>
      <c r="B52" s="2637" t="s">
        <v>917</v>
      </c>
      <c r="C52" s="2492">
        <v>50703</v>
      </c>
      <c r="D52" s="2492">
        <v>50064</v>
      </c>
      <c r="E52" s="2492">
        <v>48054</v>
      </c>
      <c r="F52" s="2941"/>
      <c r="G52" s="571"/>
      <c r="H52" s="571"/>
      <c r="I52" s="569"/>
    </row>
    <row r="53" spans="1:9">
      <c r="A53" s="571"/>
      <c r="B53" s="2637" t="s">
        <v>1444</v>
      </c>
      <c r="C53" s="2492">
        <v>49500</v>
      </c>
      <c r="D53" s="2492">
        <v>45760</v>
      </c>
      <c r="E53" s="2492">
        <v>44835</v>
      </c>
      <c r="F53" s="2941"/>
      <c r="G53" s="571"/>
      <c r="H53" s="571"/>
      <c r="I53" s="569"/>
    </row>
    <row r="54" spans="1:9">
      <c r="A54" s="571"/>
      <c r="B54" s="2637" t="s">
        <v>1496</v>
      </c>
      <c r="C54" s="2492">
        <v>12927</v>
      </c>
      <c r="D54" s="2492">
        <v>12267</v>
      </c>
      <c r="E54" s="2492">
        <v>11948</v>
      </c>
      <c r="F54" s="2941"/>
      <c r="G54" s="571"/>
      <c r="H54" s="571"/>
      <c r="I54" s="569"/>
    </row>
    <row r="55" spans="1:9">
      <c r="A55" s="571"/>
      <c r="B55" s="2637" t="s">
        <v>1497</v>
      </c>
      <c r="C55" s="2492">
        <v>61155</v>
      </c>
      <c r="D55" s="2492">
        <v>59205</v>
      </c>
      <c r="E55" s="2492">
        <v>53676</v>
      </c>
      <c r="F55" s="2941"/>
      <c r="G55" s="571"/>
      <c r="H55" s="571"/>
      <c r="I55" s="569"/>
    </row>
    <row r="56" spans="1:9" ht="13.8" thickBot="1">
      <c r="A56" s="571"/>
      <c r="B56" s="1890" t="s">
        <v>1450</v>
      </c>
      <c r="C56" s="2432">
        <f>SUM(C52:C55)</f>
        <v>174285</v>
      </c>
      <c r="D56" s="2432">
        <f>SUM(D52:D55)</f>
        <v>167296</v>
      </c>
      <c r="E56" s="2432">
        <f>SUM(E52:E55)</f>
        <v>158513</v>
      </c>
      <c r="F56" s="2941"/>
      <c r="G56" s="571"/>
      <c r="H56" s="571"/>
      <c r="I56" s="569"/>
    </row>
    <row r="57" spans="1:9" ht="13.8" thickTop="1">
      <c r="A57" s="571"/>
      <c r="B57" s="2494"/>
      <c r="C57" s="607"/>
      <c r="D57" s="607"/>
      <c r="E57" s="607"/>
      <c r="F57" s="609"/>
      <c r="G57" s="571"/>
      <c r="H57" s="571"/>
      <c r="I57" s="569"/>
    </row>
    <row r="58" spans="1:9">
      <c r="A58" s="571"/>
      <c r="B58" s="571"/>
      <c r="C58" s="571"/>
      <c r="D58" s="571"/>
      <c r="E58" s="571"/>
      <c r="F58" s="571"/>
      <c r="G58" s="571"/>
      <c r="H58" s="571"/>
      <c r="I58" s="569"/>
    </row>
    <row r="59" spans="1:9">
      <c r="A59" s="571"/>
      <c r="B59" s="2423" t="s">
        <v>1508</v>
      </c>
      <c r="C59" s="2424" t="str">
        <f>C6</f>
        <v>תקציב 2015</v>
      </c>
      <c r="D59" s="2424" t="str">
        <f>D6</f>
        <v>ביצוע 2015</v>
      </c>
      <c r="E59" s="650" t="str">
        <f>E6</f>
        <v>ביצוע 2014</v>
      </c>
      <c r="F59" s="650" t="s">
        <v>506</v>
      </c>
      <c r="G59" s="571"/>
      <c r="H59" s="571"/>
      <c r="I59" s="569"/>
    </row>
    <row r="60" spans="1:9">
      <c r="A60" s="571"/>
      <c r="B60" s="2439"/>
      <c r="C60" s="2446"/>
      <c r="D60" s="2446"/>
      <c r="E60" s="2490"/>
      <c r="F60" s="2491"/>
      <c r="G60" s="571"/>
      <c r="H60" s="571"/>
      <c r="I60" s="569"/>
    </row>
    <row r="61" spans="1:9" ht="26.25" customHeight="1">
      <c r="A61" s="571"/>
      <c r="B61" s="2637" t="s">
        <v>1499</v>
      </c>
      <c r="C61" s="2492">
        <v>23918</v>
      </c>
      <c r="D61" s="2492">
        <v>39139</v>
      </c>
      <c r="E61" s="2492">
        <v>27173</v>
      </c>
      <c r="F61" s="2941"/>
      <c r="G61" s="571"/>
      <c r="H61" s="571"/>
      <c r="I61" s="569"/>
    </row>
    <row r="62" spans="1:9">
      <c r="A62" s="571"/>
      <c r="B62" s="2950" t="s">
        <v>1448</v>
      </c>
      <c r="C62" s="2498"/>
      <c r="D62" s="2498">
        <v>25000</v>
      </c>
      <c r="E62" s="2492">
        <v>15000</v>
      </c>
      <c r="F62" s="2941"/>
      <c r="G62" s="571"/>
      <c r="H62" s="571"/>
      <c r="I62" s="569"/>
    </row>
    <row r="63" spans="1:9" ht="13.8" thickBot="1">
      <c r="A63" s="571"/>
      <c r="B63" s="1890" t="s">
        <v>1451</v>
      </c>
      <c r="C63" s="2432">
        <f>SUM(C61:C62)</f>
        <v>23918</v>
      </c>
      <c r="D63" s="2432">
        <f>SUM(D61:D62)</f>
        <v>64139</v>
      </c>
      <c r="E63" s="2432">
        <f>SUM(E61:E62)</f>
        <v>42173</v>
      </c>
      <c r="F63" s="2941"/>
      <c r="G63" s="571"/>
      <c r="H63" s="571"/>
      <c r="I63" s="569"/>
    </row>
    <row r="64" spans="1:9" ht="13.8" thickTop="1">
      <c r="A64" s="571"/>
      <c r="B64" s="2494"/>
      <c r="C64" s="607"/>
      <c r="D64" s="607"/>
      <c r="E64" s="607"/>
      <c r="F64" s="609"/>
      <c r="G64" s="571"/>
      <c r="H64" s="571"/>
      <c r="I64" s="569"/>
    </row>
    <row r="65" spans="1:9">
      <c r="A65" s="571"/>
      <c r="B65" s="571"/>
      <c r="C65" s="571"/>
      <c r="D65" s="571"/>
      <c r="E65" s="571"/>
      <c r="F65" s="571"/>
      <c r="G65" s="571"/>
      <c r="H65" s="571"/>
      <c r="I65" s="569"/>
    </row>
    <row r="66" spans="1:9">
      <c r="A66" s="571"/>
      <c r="B66" s="648" t="s">
        <v>1498</v>
      </c>
      <c r="C66" s="2424" t="str">
        <f>C6</f>
        <v>תקציב 2015</v>
      </c>
      <c r="D66" s="2424" t="str">
        <f>D6</f>
        <v>ביצוע 2015</v>
      </c>
      <c r="E66" s="650" t="str">
        <f>E6</f>
        <v>ביצוע 2014</v>
      </c>
      <c r="F66" s="650" t="s">
        <v>506</v>
      </c>
      <c r="G66" s="571"/>
      <c r="H66" s="571"/>
      <c r="I66" s="569"/>
    </row>
    <row r="67" spans="1:9">
      <c r="A67" s="571"/>
      <c r="B67" s="2499"/>
      <c r="C67" s="2446"/>
      <c r="D67" s="2446"/>
      <c r="E67" s="2490"/>
      <c r="F67" s="2491"/>
      <c r="G67" s="571"/>
      <c r="H67" s="571"/>
      <c r="I67" s="569"/>
    </row>
    <row r="68" spans="1:9">
      <c r="A68" s="571"/>
      <c r="B68" s="1890" t="s">
        <v>1452</v>
      </c>
      <c r="C68" s="2492">
        <v>9750</v>
      </c>
      <c r="D68" s="2492">
        <v>9369</v>
      </c>
      <c r="E68" s="2492">
        <v>9760</v>
      </c>
      <c r="F68" s="2941"/>
      <c r="G68" s="571"/>
      <c r="H68" s="571"/>
      <c r="I68" s="569"/>
    </row>
    <row r="69" spans="1:9">
      <c r="A69" s="571"/>
      <c r="B69" s="1890" t="s">
        <v>1453</v>
      </c>
      <c r="C69" s="2492">
        <v>26350</v>
      </c>
      <c r="D69" s="2492">
        <v>24801</v>
      </c>
      <c r="E69" s="2492">
        <v>30031</v>
      </c>
      <c r="F69" s="2941"/>
      <c r="G69" s="571"/>
      <c r="H69" s="571"/>
      <c r="I69" s="569"/>
    </row>
    <row r="70" spans="1:9">
      <c r="A70" s="571"/>
      <c r="B70" s="2640" t="s">
        <v>924</v>
      </c>
      <c r="C70" s="3128">
        <f>C79</f>
        <v>500</v>
      </c>
      <c r="D70" s="3128">
        <f>D79</f>
        <v>463</v>
      </c>
      <c r="E70" s="3128">
        <f>E79</f>
        <v>491</v>
      </c>
      <c r="F70" s="2941"/>
      <c r="G70" s="571"/>
      <c r="H70" s="571"/>
      <c r="I70" s="569"/>
    </row>
    <row r="71" spans="1:9">
      <c r="A71" s="571"/>
      <c r="B71" s="2447" t="s">
        <v>350</v>
      </c>
      <c r="C71" s="2498"/>
      <c r="D71" s="2498"/>
      <c r="E71" s="2498"/>
      <c r="F71" s="2941"/>
      <c r="G71" s="571"/>
      <c r="H71" s="571"/>
      <c r="I71" s="569"/>
    </row>
    <row r="72" spans="1:9" ht="13.8" thickBot="1">
      <c r="A72" s="571"/>
      <c r="B72" s="1890" t="s">
        <v>1454</v>
      </c>
      <c r="C72" s="2432">
        <f>SUM(C68:C71)</f>
        <v>36600</v>
      </c>
      <c r="D72" s="2432">
        <f>SUM(D68:D71)</f>
        <v>34633</v>
      </c>
      <c r="E72" s="2432">
        <f>SUM(E68:E71)</f>
        <v>40282</v>
      </c>
      <c r="F72" s="2941"/>
      <c r="G72" s="571"/>
      <c r="H72" s="571"/>
      <c r="I72" s="569"/>
    </row>
    <row r="73" spans="1:9" ht="13.8" thickTop="1">
      <c r="A73" s="571"/>
      <c r="B73" s="2494"/>
      <c r="C73" s="607"/>
      <c r="D73" s="607"/>
      <c r="E73" s="607"/>
      <c r="F73" s="609"/>
      <c r="G73" s="571"/>
      <c r="H73" s="571"/>
      <c r="I73" s="569"/>
    </row>
    <row r="74" spans="1:9">
      <c r="A74" s="571"/>
      <c r="B74" s="583"/>
      <c r="C74" s="583"/>
      <c r="D74" s="583"/>
      <c r="E74" s="583"/>
      <c r="F74" s="583"/>
      <c r="G74" s="571"/>
      <c r="H74" s="571"/>
      <c r="I74" s="569"/>
    </row>
    <row r="75" spans="1:9" ht="27.75" customHeight="1">
      <c r="A75" s="571"/>
      <c r="B75" s="670" t="s">
        <v>923</v>
      </c>
      <c r="C75" s="571"/>
      <c r="D75" s="571"/>
      <c r="E75" s="571"/>
      <c r="F75" s="571"/>
      <c r="G75" s="571"/>
      <c r="H75" s="571"/>
      <c r="I75" s="569"/>
    </row>
    <row r="76" spans="1:9">
      <c r="A76" s="571"/>
      <c r="B76" s="648" t="s">
        <v>297</v>
      </c>
      <c r="C76" s="2424" t="str">
        <f>C6</f>
        <v>תקציב 2015</v>
      </c>
      <c r="D76" s="2424" t="str">
        <f>D6</f>
        <v>ביצוע 2015</v>
      </c>
      <c r="E76" s="650" t="str">
        <f>E6</f>
        <v>ביצוע 2014</v>
      </c>
      <c r="F76" s="650" t="s">
        <v>506</v>
      </c>
      <c r="G76" s="571"/>
      <c r="H76" s="571"/>
      <c r="I76" s="569"/>
    </row>
    <row r="77" spans="1:9">
      <c r="A77" s="571"/>
      <c r="B77" s="2499"/>
      <c r="C77" s="2446"/>
      <c r="D77" s="2446"/>
      <c r="E77" s="2490"/>
      <c r="F77" s="2491"/>
      <c r="G77" s="571"/>
      <c r="H77" s="571"/>
      <c r="I77" s="569"/>
    </row>
    <row r="78" spans="1:9">
      <c r="A78" s="571"/>
      <c r="B78" s="2640" t="s">
        <v>50</v>
      </c>
      <c r="C78" s="2492"/>
      <c r="D78" s="2492"/>
      <c r="E78" s="2492"/>
      <c r="F78" s="2941"/>
      <c r="G78" s="571"/>
      <c r="H78" s="571"/>
      <c r="I78" s="569"/>
    </row>
    <row r="79" spans="1:9">
      <c r="A79" s="571"/>
      <c r="B79" s="2640" t="s">
        <v>924</v>
      </c>
      <c r="C79" s="2492">
        <v>500</v>
      </c>
      <c r="D79" s="2492">
        <v>463</v>
      </c>
      <c r="E79" s="2492">
        <v>491</v>
      </c>
      <c r="F79" s="2941"/>
      <c r="G79" s="571"/>
      <c r="H79" s="571"/>
      <c r="I79" s="569"/>
    </row>
    <row r="80" spans="1:9">
      <c r="A80" s="571"/>
      <c r="B80" s="2640" t="s">
        <v>925</v>
      </c>
      <c r="C80" s="2492">
        <v>2250</v>
      </c>
      <c r="D80" s="2492">
        <v>2039</v>
      </c>
      <c r="E80" s="2492">
        <v>2020</v>
      </c>
      <c r="F80" s="2941"/>
      <c r="G80" s="571"/>
      <c r="H80" s="571"/>
      <c r="I80" s="569"/>
    </row>
    <row r="81" spans="1:9">
      <c r="A81" s="571"/>
      <c r="B81" s="2447" t="s">
        <v>350</v>
      </c>
      <c r="C81" s="2492"/>
      <c r="D81" s="2492"/>
      <c r="E81" s="2492"/>
      <c r="F81" s="2941"/>
      <c r="G81" s="571"/>
      <c r="H81" s="571"/>
      <c r="I81" s="569"/>
    </row>
    <row r="82" spans="1:9" ht="13.8" thickBot="1">
      <c r="A82" s="571"/>
      <c r="B82" s="2640" t="s">
        <v>1489</v>
      </c>
      <c r="C82" s="2432">
        <f>SUM(C78:C81)</f>
        <v>2750</v>
      </c>
      <c r="D82" s="2432">
        <f>SUM(D78:D81)</f>
        <v>2502</v>
      </c>
      <c r="E82" s="2432">
        <f>SUM(E78:E81)</f>
        <v>2511</v>
      </c>
      <c r="F82" s="2941"/>
      <c r="G82" s="571"/>
      <c r="H82" s="571"/>
      <c r="I82" s="569"/>
    </row>
    <row r="83" spans="1:9" ht="13.8" thickTop="1">
      <c r="A83" s="571"/>
      <c r="B83" s="2494"/>
      <c r="C83" s="607"/>
      <c r="D83" s="607"/>
      <c r="E83" s="607"/>
      <c r="F83" s="609"/>
      <c r="G83" s="571"/>
      <c r="H83" s="571"/>
      <c r="I83" s="569"/>
    </row>
    <row r="84" spans="1:9">
      <c r="A84" s="571"/>
      <c r="B84" s="571"/>
      <c r="C84" s="571"/>
      <c r="D84" s="571"/>
      <c r="E84" s="571"/>
      <c r="F84" s="571"/>
      <c r="G84" s="571"/>
      <c r="H84" s="571"/>
      <c r="I84" s="569"/>
    </row>
    <row r="85" spans="1:9">
      <c r="A85" s="571"/>
      <c r="B85" s="3003" t="s">
        <v>350</v>
      </c>
      <c r="C85" s="571"/>
      <c r="D85" s="571"/>
      <c r="E85" s="571"/>
      <c r="F85" s="571"/>
      <c r="G85" s="571"/>
      <c r="H85" s="571"/>
      <c r="I85" s="569"/>
    </row>
    <row r="86" spans="1:9" ht="13.8" thickBot="1">
      <c r="A86" s="571"/>
      <c r="B86" s="571"/>
      <c r="C86" s="571"/>
      <c r="D86" s="571"/>
      <c r="E86" s="571"/>
      <c r="F86" s="571"/>
      <c r="G86" s="571"/>
      <c r="H86" s="571"/>
      <c r="I86" s="569"/>
    </row>
    <row r="87" spans="1:9" ht="13.8" thickTop="1">
      <c r="A87" s="611"/>
      <c r="B87" s="611"/>
      <c r="C87" s="611"/>
      <c r="D87" s="611"/>
      <c r="E87" s="611"/>
      <c r="F87" s="611"/>
      <c r="G87" s="611"/>
      <c r="H87" s="611"/>
    </row>
  </sheetData>
  <sheetProtection password="83C1" sheet="1" objects="1" scenarios="1"/>
  <mergeCells count="2">
    <mergeCell ref="C1:H1"/>
    <mergeCell ref="C2:H2"/>
  </mergeCells>
  <phoneticPr fontId="4" type="noConversion"/>
  <hyperlinks>
    <hyperlink ref="A3" location="'תוכן הענינים'!A1" tooltip="לחץ להצגת גליון תוכן הענינים" display="הצג תוכן ענינים"/>
  </hyperlinks>
  <pageMargins left="0.4" right="0.55000000000000004" top="1" bottom="1" header="0.5" footer="0.5"/>
  <pageSetup paperSize="9" scale="90" orientation="portrait" blackAndWhite="1" r:id="rId1"/>
  <headerFooter alignWithMargins="0">
    <oddHeader>&amp;L&amp;8&amp;A</oddHeader>
    <oddFooter>&amp;C&amp;8&amp;P</oddFooter>
  </headerFooter>
  <rowBreaks count="1" manualBreakCount="1">
    <brk id="48" min="1" max="7" man="1"/>
  </rowBreaks>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5"/>
  <dimension ref="A1:AA718"/>
  <sheetViews>
    <sheetView showRowColHeaders="0" showZeros="0" rightToLeft="1" showOutlineSymbols="0" zoomScaleNormal="100" workbookViewId="0"/>
  </sheetViews>
  <sheetFormatPr defaultColWidth="9.109375" defaultRowHeight="13.2"/>
  <cols>
    <col min="1" max="3" width="9.109375" style="2523"/>
    <col min="4" max="4" width="9" style="2523" customWidth="1"/>
    <col min="5" max="5" width="3" style="2523" customWidth="1"/>
    <col min="6" max="12" width="9.109375" style="2523"/>
    <col min="13" max="13" width="9.109375" style="2523" hidden="1" customWidth="1"/>
    <col min="14" max="14" width="18.33203125" style="2523" hidden="1" customWidth="1"/>
    <col min="15" max="20" width="9.109375" style="2523" hidden="1" customWidth="1"/>
    <col min="21" max="21" width="29.44140625" style="2523" hidden="1" customWidth="1"/>
    <col min="22" max="26" width="9.109375" style="2523" hidden="1" customWidth="1"/>
    <col min="27" max="27" width="0" style="2523" hidden="1" customWidth="1"/>
    <col min="28" max="16384" width="9.109375" style="2523"/>
  </cols>
  <sheetData>
    <row r="1" spans="1:27" ht="17.25" customHeight="1" thickTop="1">
      <c r="A1" s="7" t="s">
        <v>339</v>
      </c>
      <c r="B1" s="2520"/>
      <c r="C1" s="2520"/>
      <c r="D1" s="2520"/>
      <c r="E1" s="2520"/>
      <c r="F1" s="2520"/>
      <c r="G1" s="2520"/>
      <c r="H1" s="2520"/>
      <c r="I1" s="2520"/>
      <c r="J1" s="2520"/>
      <c r="K1" s="2521"/>
      <c r="L1" s="2522"/>
      <c r="M1" s="2523" t="s">
        <v>1598</v>
      </c>
      <c r="N1" s="2523" t="s">
        <v>1860</v>
      </c>
      <c r="O1" s="2523" t="s">
        <v>1599</v>
      </c>
      <c r="P1" s="3213" t="s">
        <v>1853</v>
      </c>
      <c r="Q1" s="2523" t="s">
        <v>2172</v>
      </c>
      <c r="R1" s="2523" t="s">
        <v>2171</v>
      </c>
      <c r="S1" s="2523" t="s">
        <v>1859</v>
      </c>
      <c r="U1" s="2523" t="str">
        <f>GufMevukar</f>
        <v>עירית הרצליה</v>
      </c>
      <c r="V1" s="2523">
        <f>VLOOKUP($U1,$N$1:$R$259,3)</f>
        <v>1</v>
      </c>
      <c r="W1" s="2523">
        <f>VLOOKUP($U1,$N$1:$R$259,4)</f>
        <v>0</v>
      </c>
      <c r="X1" s="2523">
        <f>VLOOKUP($U1,$N$1:$R$259,5)</f>
        <v>1</v>
      </c>
      <c r="Z1" s="2523" t="str">
        <f>VLOOKUP(GufMevukar,$N$1:$O$259,2)</f>
        <v>עירייה</v>
      </c>
      <c r="AA1" s="2523" t="str">
        <f>VLOOKUP(GufMevukar,$N$1:$S$259,6)</f>
        <v>עירית</v>
      </c>
    </row>
    <row r="2" spans="1:27" ht="15.6">
      <c r="A2" s="2524">
        <v>0</v>
      </c>
      <c r="B2" s="2525"/>
      <c r="C2" s="2525"/>
      <c r="D2" s="2525"/>
      <c r="E2" s="2525"/>
      <c r="F2" s="2525"/>
      <c r="G2" s="2526"/>
      <c r="H2" s="2526"/>
      <c r="I2" s="2526"/>
      <c r="J2" s="2526"/>
      <c r="K2" s="2527"/>
      <c r="L2" s="2522"/>
      <c r="M2" s="2523" t="s">
        <v>1600</v>
      </c>
      <c r="N2" s="2523" t="s">
        <v>1600</v>
      </c>
      <c r="O2" s="3210" t="s">
        <v>2136</v>
      </c>
      <c r="P2" s="3213"/>
      <c r="S2" s="3214" t="s">
        <v>2110</v>
      </c>
    </row>
    <row r="3" spans="1:27" ht="24" customHeight="1">
      <c r="A3" s="2525"/>
      <c r="B3" s="3753" t="s">
        <v>1459</v>
      </c>
      <c r="C3" s="3754"/>
      <c r="D3" s="3754"/>
      <c r="E3" s="3754"/>
      <c r="F3" s="3754"/>
      <c r="G3" s="3754"/>
      <c r="H3" s="3754"/>
      <c r="I3" s="3754"/>
      <c r="J3" s="3755"/>
      <c r="K3" s="2525"/>
      <c r="L3" s="2522"/>
      <c r="M3" s="2523" t="s">
        <v>1601</v>
      </c>
      <c r="N3" s="2523" t="s">
        <v>1934</v>
      </c>
      <c r="O3" s="3211" t="s">
        <v>2136</v>
      </c>
      <c r="P3" s="3213"/>
      <c r="S3" s="3211" t="s">
        <v>1854</v>
      </c>
    </row>
    <row r="4" spans="1:27" ht="13.8">
      <c r="A4" s="2525"/>
      <c r="B4" s="2528"/>
      <c r="C4" s="2529"/>
      <c r="D4" s="2529"/>
      <c r="E4" s="2529"/>
      <c r="F4" s="2529"/>
      <c r="G4" s="2529"/>
      <c r="H4" s="2529"/>
      <c r="I4" s="2529"/>
      <c r="J4" s="2530"/>
      <c r="K4" s="2525"/>
      <c r="L4" s="2522"/>
      <c r="M4" s="2523" t="s">
        <v>1614</v>
      </c>
      <c r="N4" s="2523" t="s">
        <v>1940</v>
      </c>
      <c r="O4" s="3211" t="s">
        <v>2136</v>
      </c>
      <c r="P4" s="3213"/>
      <c r="S4" s="3211" t="s">
        <v>1854</v>
      </c>
    </row>
    <row r="5" spans="1:27" ht="13.8">
      <c r="A5" s="2525"/>
      <c r="B5" s="2531"/>
      <c r="C5" s="2532"/>
      <c r="D5" s="2532"/>
      <c r="E5" s="2532"/>
      <c r="F5" s="2532"/>
      <c r="G5" s="2532"/>
      <c r="H5" s="2533"/>
      <c r="I5" s="2532"/>
      <c r="J5" s="2534"/>
      <c r="K5" s="2525"/>
      <c r="L5" s="2522"/>
      <c r="M5" s="2523" t="s">
        <v>1615</v>
      </c>
      <c r="N5" s="2523" t="s">
        <v>1941</v>
      </c>
      <c r="O5" s="3211" t="s">
        <v>2136</v>
      </c>
      <c r="P5" s="3213"/>
      <c r="S5" s="3211" t="s">
        <v>1854</v>
      </c>
    </row>
    <row r="6" spans="1:27" ht="13.8">
      <c r="A6" s="2525"/>
      <c r="B6" s="3762" t="s">
        <v>1460</v>
      </c>
      <c r="C6" s="3763"/>
      <c r="D6" s="3759" t="s">
        <v>1880</v>
      </c>
      <c r="E6" s="3760"/>
      <c r="F6" s="3760"/>
      <c r="G6" s="3760"/>
      <c r="H6" s="3760"/>
      <c r="I6" s="3761"/>
      <c r="J6" s="2534"/>
      <c r="K6" s="2525"/>
      <c r="L6" s="2522"/>
      <c r="M6" s="2523" t="s">
        <v>1623</v>
      </c>
      <c r="N6" s="2523" t="s">
        <v>1946</v>
      </c>
      <c r="O6" s="3211" t="s">
        <v>2136</v>
      </c>
      <c r="P6" s="3213"/>
      <c r="Q6" s="2523">
        <v>1</v>
      </c>
      <c r="S6" s="3211" t="s">
        <v>1854</v>
      </c>
    </row>
    <row r="7" spans="1:27" ht="6.75" customHeight="1">
      <c r="A7" s="2525"/>
      <c r="B7" s="2598"/>
      <c r="C7" s="2532"/>
      <c r="D7" s="2599"/>
      <c r="E7" s="2599"/>
      <c r="F7" s="2599"/>
      <c r="G7" s="2599"/>
      <c r="H7" s="2599"/>
      <c r="I7" s="2599"/>
      <c r="J7" s="2534"/>
      <c r="K7" s="2525"/>
      <c r="L7" s="2522"/>
      <c r="M7" s="2523" t="s">
        <v>1626</v>
      </c>
      <c r="N7" s="2523" t="s">
        <v>1948</v>
      </c>
      <c r="O7" s="3211" t="s">
        <v>2136</v>
      </c>
      <c r="P7" s="3213">
        <v>1</v>
      </c>
      <c r="R7" s="2523">
        <v>1</v>
      </c>
      <c r="S7" s="3211" t="s">
        <v>1854</v>
      </c>
    </row>
    <row r="8" spans="1:27" ht="13.8">
      <c r="A8" s="2525"/>
      <c r="B8" s="2598" t="s">
        <v>23</v>
      </c>
      <c r="C8" s="2532"/>
      <c r="D8" s="3284" t="str">
        <f>VLOOKUP(GufMevukar,$N$1:$O$259,2)</f>
        <v>עירייה</v>
      </c>
      <c r="E8" s="2599"/>
      <c r="F8" s="2599"/>
      <c r="G8" s="2599"/>
      <c r="H8" s="2599"/>
      <c r="I8" s="2599"/>
      <c r="J8" s="2534"/>
      <c r="K8" s="2525"/>
      <c r="L8" s="2522"/>
      <c r="M8" s="2523" t="s">
        <v>1629</v>
      </c>
      <c r="N8" s="2523" t="s">
        <v>1950</v>
      </c>
      <c r="O8" s="3211" t="s">
        <v>2136</v>
      </c>
      <c r="P8" s="3213"/>
      <c r="S8" s="3211" t="s">
        <v>1854</v>
      </c>
    </row>
    <row r="9" spans="1:27" ht="6.9" customHeight="1">
      <c r="A9" s="2525"/>
      <c r="B9" s="2535"/>
      <c r="C9" s="2536"/>
      <c r="D9" s="2532"/>
      <c r="E9" s="2532"/>
      <c r="F9" s="2532"/>
      <c r="G9" s="2532"/>
      <c r="H9" s="2532"/>
      <c r="I9" s="2532"/>
      <c r="J9" s="2534"/>
      <c r="K9" s="2525"/>
      <c r="L9" s="2522"/>
      <c r="M9" s="2523" t="s">
        <v>1642</v>
      </c>
      <c r="N9" s="2523" t="s">
        <v>1959</v>
      </c>
      <c r="O9" s="3211" t="s">
        <v>2136</v>
      </c>
      <c r="P9" s="3213">
        <v>1</v>
      </c>
      <c r="Q9" s="2523">
        <v>1</v>
      </c>
      <c r="S9" s="3211" t="s">
        <v>1854</v>
      </c>
    </row>
    <row r="10" spans="1:27" ht="13.8">
      <c r="A10" s="2525"/>
      <c r="B10" s="3757" t="s">
        <v>954</v>
      </c>
      <c r="C10" s="3758"/>
      <c r="D10" s="2537">
        <v>2015</v>
      </c>
      <c r="E10" s="2532"/>
      <c r="F10" s="3756" t="s">
        <v>1461</v>
      </c>
      <c r="G10" s="3756"/>
      <c r="H10" s="3756"/>
      <c r="I10" s="3756"/>
      <c r="J10" s="2534"/>
      <c r="K10" s="2525"/>
      <c r="L10" s="2522"/>
      <c r="M10" s="2523" t="s">
        <v>1647</v>
      </c>
      <c r="N10" s="2523" t="s">
        <v>1964</v>
      </c>
      <c r="O10" s="3211" t="s">
        <v>2136</v>
      </c>
      <c r="P10" s="3213">
        <v>1</v>
      </c>
      <c r="Q10" s="2523">
        <v>1</v>
      </c>
      <c r="S10" s="3211" t="s">
        <v>1854</v>
      </c>
    </row>
    <row r="11" spans="1:27" ht="6.9" customHeight="1">
      <c r="A11" s="2525"/>
      <c r="B11" s="2535"/>
      <c r="C11" s="2536"/>
      <c r="D11" s="2538"/>
      <c r="E11" s="2532"/>
      <c r="F11" s="3756"/>
      <c r="G11" s="3756"/>
      <c r="H11" s="3756"/>
      <c r="I11" s="3756"/>
      <c r="J11" s="2534"/>
      <c r="K11" s="2525"/>
      <c r="L11" s="2522"/>
      <c r="M11" s="2523" t="s">
        <v>1657</v>
      </c>
      <c r="N11" s="2523" t="s">
        <v>1971</v>
      </c>
      <c r="O11" s="3211" t="s">
        <v>2136</v>
      </c>
      <c r="P11" s="3213"/>
      <c r="Q11" s="2523">
        <v>1</v>
      </c>
      <c r="S11" s="3211" t="s">
        <v>1854</v>
      </c>
    </row>
    <row r="12" spans="1:27" ht="13.8">
      <c r="A12" s="2525"/>
      <c r="B12" s="3757" t="s">
        <v>846</v>
      </c>
      <c r="C12" s="3758"/>
      <c r="D12" s="2539">
        <f>D10-1</f>
        <v>2014</v>
      </c>
      <c r="E12" s="2532"/>
      <c r="F12" s="3756" t="s">
        <v>1461</v>
      </c>
      <c r="G12" s="3756"/>
      <c r="H12" s="3756"/>
      <c r="I12" s="3756"/>
      <c r="J12" s="2534"/>
      <c r="K12" s="2525"/>
      <c r="L12" s="2522"/>
      <c r="M12" s="2523" t="s">
        <v>1658</v>
      </c>
      <c r="N12" s="2523" t="s">
        <v>1972</v>
      </c>
      <c r="O12" s="3211" t="s">
        <v>2136</v>
      </c>
      <c r="P12" s="3213"/>
      <c r="Q12" s="2523">
        <v>1</v>
      </c>
      <c r="S12" s="3211" t="s">
        <v>1854</v>
      </c>
    </row>
    <row r="13" spans="1:27" ht="6.9" customHeight="1">
      <c r="A13" s="2525"/>
      <c r="B13" s="2535"/>
      <c r="C13" s="2536"/>
      <c r="D13" s="2538"/>
      <c r="E13" s="2532"/>
      <c r="F13" s="2532"/>
      <c r="G13" s="2532"/>
      <c r="H13" s="2532"/>
      <c r="I13" s="2532"/>
      <c r="J13" s="2534"/>
      <c r="K13" s="2525"/>
      <c r="L13" s="2522"/>
      <c r="M13" s="2523" t="s">
        <v>1660</v>
      </c>
      <c r="N13" s="2523" t="s">
        <v>1974</v>
      </c>
      <c r="O13" s="3211" t="s">
        <v>2136</v>
      </c>
      <c r="P13" s="3213"/>
      <c r="Q13" s="2523">
        <v>1</v>
      </c>
      <c r="S13" s="3211" t="s">
        <v>1854</v>
      </c>
    </row>
    <row r="14" spans="1:27" ht="13.8">
      <c r="A14" s="2525"/>
      <c r="B14" s="3757" t="s">
        <v>848</v>
      </c>
      <c r="C14" s="3758"/>
      <c r="D14" s="2539">
        <f>D10-2</f>
        <v>2013</v>
      </c>
      <c r="E14" s="2532"/>
      <c r="F14" s="3756" t="s">
        <v>1461</v>
      </c>
      <c r="G14" s="3756"/>
      <c r="H14" s="3756"/>
      <c r="I14" s="3756"/>
      <c r="J14" s="2534"/>
      <c r="K14" s="2525"/>
      <c r="L14" s="2522"/>
      <c r="M14" s="2523" t="s">
        <v>1661</v>
      </c>
      <c r="N14" s="2523" t="s">
        <v>1975</v>
      </c>
      <c r="O14" s="3211" t="s">
        <v>2136</v>
      </c>
      <c r="P14" s="3213">
        <v>1</v>
      </c>
      <c r="Q14" s="2523">
        <v>1</v>
      </c>
      <c r="S14" s="3211" t="s">
        <v>1854</v>
      </c>
    </row>
    <row r="15" spans="1:27" ht="6.9" customHeight="1">
      <c r="A15" s="2525"/>
      <c r="B15" s="2535"/>
      <c r="C15" s="2536"/>
      <c r="D15" s="2538"/>
      <c r="E15" s="2532"/>
      <c r="F15" s="2532"/>
      <c r="G15" s="2532"/>
      <c r="H15" s="2532"/>
      <c r="I15" s="2532"/>
      <c r="J15" s="2534"/>
      <c r="K15" s="2525"/>
      <c r="L15" s="2522"/>
      <c r="M15" s="2523" t="s">
        <v>1663</v>
      </c>
      <c r="N15" s="2523" t="s">
        <v>1977</v>
      </c>
      <c r="O15" s="3212" t="s">
        <v>2136</v>
      </c>
      <c r="P15" s="3213">
        <v>1</v>
      </c>
      <c r="R15" s="2523">
        <v>1</v>
      </c>
      <c r="S15" s="3212" t="s">
        <v>1854</v>
      </c>
    </row>
    <row r="16" spans="1:27" ht="14.25" customHeight="1">
      <c r="A16" s="2525"/>
      <c r="B16" s="3757" t="s">
        <v>1462</v>
      </c>
      <c r="C16" s="3758"/>
      <c r="D16" s="2538">
        <v>1.01</v>
      </c>
      <c r="E16" s="2532"/>
      <c r="F16" s="3756" t="s">
        <v>1463</v>
      </c>
      <c r="G16" s="3756"/>
      <c r="H16" s="3756"/>
      <c r="I16" s="3756"/>
      <c r="J16" s="2534"/>
      <c r="K16" s="2525"/>
      <c r="L16" s="2522"/>
      <c r="M16" s="2523" t="s">
        <v>1671</v>
      </c>
      <c r="N16" s="2523" t="s">
        <v>1984</v>
      </c>
      <c r="O16" s="3211" t="s">
        <v>2136</v>
      </c>
      <c r="P16" s="3213">
        <v>1</v>
      </c>
      <c r="R16" s="2523">
        <v>1</v>
      </c>
      <c r="S16" s="3211" t="s">
        <v>1854</v>
      </c>
    </row>
    <row r="17" spans="1:19" ht="8.25" customHeight="1">
      <c r="A17" s="2525"/>
      <c r="B17" s="2535"/>
      <c r="C17" s="2536"/>
      <c r="D17" s="2538"/>
      <c r="E17" s="2532"/>
      <c r="F17" s="2532"/>
      <c r="G17" s="2532"/>
      <c r="H17" s="2532"/>
      <c r="I17" s="2532"/>
      <c r="J17" s="2534"/>
      <c r="K17" s="2525"/>
      <c r="L17" s="2522"/>
      <c r="M17" s="2523" t="s">
        <v>1672</v>
      </c>
      <c r="N17" s="2523" t="s">
        <v>1985</v>
      </c>
      <c r="O17" s="3212" t="s">
        <v>2136</v>
      </c>
      <c r="P17" s="3213"/>
      <c r="S17" s="3212" t="s">
        <v>1854</v>
      </c>
    </row>
    <row r="18" spans="1:19" ht="14.25" customHeight="1">
      <c r="A18" s="2525"/>
      <c r="B18" s="3757" t="s">
        <v>1464</v>
      </c>
      <c r="C18" s="3758"/>
      <c r="D18" s="2538">
        <v>31.12</v>
      </c>
      <c r="E18" s="2532"/>
      <c r="F18" s="3756" t="s">
        <v>1463</v>
      </c>
      <c r="G18" s="3756"/>
      <c r="H18" s="3756"/>
      <c r="I18" s="3756"/>
      <c r="J18" s="2534"/>
      <c r="K18" s="2525"/>
      <c r="L18" s="2522"/>
      <c r="M18" s="2523" t="s">
        <v>1673</v>
      </c>
      <c r="N18" s="2523" t="s">
        <v>1986</v>
      </c>
      <c r="O18" s="3211" t="s">
        <v>2136</v>
      </c>
      <c r="P18" s="3213"/>
      <c r="Q18" s="2523">
        <v>1</v>
      </c>
      <c r="S18" s="3211" t="s">
        <v>1854</v>
      </c>
    </row>
    <row r="19" spans="1:19" ht="13.8">
      <c r="A19" s="2525"/>
      <c r="B19" s="2535"/>
      <c r="C19" s="2536"/>
      <c r="D19" s="2532"/>
      <c r="E19" s="2532"/>
      <c r="F19" s="2532"/>
      <c r="G19" s="2532"/>
      <c r="H19" s="2532"/>
      <c r="I19" s="2532"/>
      <c r="J19" s="2534"/>
      <c r="K19" s="2525"/>
      <c r="L19" s="2522"/>
      <c r="M19" s="2523" t="s">
        <v>1674</v>
      </c>
      <c r="N19" s="2523" t="s">
        <v>1987</v>
      </c>
      <c r="O19" s="3211" t="s">
        <v>2136</v>
      </c>
      <c r="P19" s="3213"/>
      <c r="S19" s="3211" t="s">
        <v>1854</v>
      </c>
    </row>
    <row r="20" spans="1:19" ht="13.8">
      <c r="A20" s="2525"/>
      <c r="B20" s="2531"/>
      <c r="C20" s="2532"/>
      <c r="D20" s="2532"/>
      <c r="E20" s="2532"/>
      <c r="F20" s="2532"/>
      <c r="G20" s="2532"/>
      <c r="H20" s="2532"/>
      <c r="I20" s="2532"/>
      <c r="J20" s="2534"/>
      <c r="K20" s="2525"/>
      <c r="L20" s="2522"/>
      <c r="M20" s="2523" t="s">
        <v>2146</v>
      </c>
      <c r="N20" s="2523" t="s">
        <v>2147</v>
      </c>
      <c r="O20" s="3211" t="s">
        <v>2136</v>
      </c>
      <c r="P20" s="3213"/>
      <c r="Q20" s="2523">
        <v>1</v>
      </c>
      <c r="S20" s="3211" t="s">
        <v>1854</v>
      </c>
    </row>
    <row r="21" spans="1:19" ht="13.8">
      <c r="A21" s="2525"/>
      <c r="B21" s="2531"/>
      <c r="C21" s="2532"/>
      <c r="D21" s="2532"/>
      <c r="E21" s="2532"/>
      <c r="F21" s="2532"/>
      <c r="G21" s="2532"/>
      <c r="H21" s="2532"/>
      <c r="I21" s="2532"/>
      <c r="J21" s="2534"/>
      <c r="K21" s="2525"/>
      <c r="L21" s="2522"/>
      <c r="M21" s="2523" t="s">
        <v>1677</v>
      </c>
      <c r="N21" s="2523" t="s">
        <v>1989</v>
      </c>
      <c r="O21" s="3211" t="s">
        <v>2136</v>
      </c>
      <c r="P21" s="3213"/>
      <c r="Q21" s="2523">
        <v>1</v>
      </c>
      <c r="S21" s="3211" t="s">
        <v>1854</v>
      </c>
    </row>
    <row r="22" spans="1:19" ht="13.8">
      <c r="A22" s="2525"/>
      <c r="B22" s="2540"/>
      <c r="C22" s="2541"/>
      <c r="D22" s="2541"/>
      <c r="E22" s="2541"/>
      <c r="F22" s="2541"/>
      <c r="G22" s="2541"/>
      <c r="H22" s="2541"/>
      <c r="I22" s="2541"/>
      <c r="J22" s="2542"/>
      <c r="K22" s="2525"/>
      <c r="L22" s="2522"/>
      <c r="M22" s="2523" t="s">
        <v>1679</v>
      </c>
      <c r="N22" s="2523" t="s">
        <v>1990</v>
      </c>
      <c r="O22" s="3211" t="s">
        <v>2136</v>
      </c>
      <c r="P22" s="3213"/>
      <c r="Q22" s="2523">
        <v>1</v>
      </c>
      <c r="S22" s="3211" t="s">
        <v>1854</v>
      </c>
    </row>
    <row r="23" spans="1:19" ht="13.8">
      <c r="A23" s="2525"/>
      <c r="B23" s="2525"/>
      <c r="C23" s="2525"/>
      <c r="D23" s="2525"/>
      <c r="E23" s="2525"/>
      <c r="F23" s="2525"/>
      <c r="G23" s="2525"/>
      <c r="H23" s="2525"/>
      <c r="I23" s="2525"/>
      <c r="J23" s="2525"/>
      <c r="K23" s="2525"/>
      <c r="L23" s="2522"/>
      <c r="M23" s="2523" t="s">
        <v>1683</v>
      </c>
      <c r="N23" s="2523" t="s">
        <v>1994</v>
      </c>
      <c r="O23" s="3211" t="s">
        <v>2136</v>
      </c>
      <c r="P23" s="3213">
        <v>1</v>
      </c>
      <c r="S23" s="3211" t="s">
        <v>1854</v>
      </c>
    </row>
    <row r="24" spans="1:19" ht="13.8">
      <c r="A24" s="2525"/>
      <c r="B24" s="2525"/>
      <c r="C24" s="2525"/>
      <c r="D24" s="2525"/>
      <c r="E24" s="2525"/>
      <c r="F24" s="2525"/>
      <c r="G24" s="2525"/>
      <c r="H24" s="2525"/>
      <c r="I24" s="2525"/>
      <c r="J24" s="2525"/>
      <c r="K24" s="2525"/>
      <c r="L24" s="2522"/>
      <c r="M24" s="2523" t="s">
        <v>1684</v>
      </c>
      <c r="N24" s="2523" t="s">
        <v>1995</v>
      </c>
      <c r="O24" s="3211" t="s">
        <v>2136</v>
      </c>
      <c r="P24" s="3213"/>
      <c r="Q24" s="2523">
        <v>1</v>
      </c>
      <c r="S24" s="3211" t="s">
        <v>1854</v>
      </c>
    </row>
    <row r="25" spans="1:19" ht="14.4" thickBot="1">
      <c r="A25" s="2525"/>
      <c r="B25" s="2525"/>
      <c r="C25" s="2525"/>
      <c r="D25" s="2525"/>
      <c r="E25" s="2525"/>
      <c r="F25" s="2525"/>
      <c r="G25" s="2525"/>
      <c r="H25" s="2525"/>
      <c r="I25" s="2525"/>
      <c r="J25" s="2525"/>
      <c r="K25" s="2525"/>
      <c r="L25" s="2522"/>
      <c r="M25" s="2523" t="s">
        <v>1685</v>
      </c>
      <c r="N25" s="2523" t="s">
        <v>1996</v>
      </c>
      <c r="O25" s="3211" t="s">
        <v>2136</v>
      </c>
      <c r="P25" s="3213">
        <v>1</v>
      </c>
      <c r="Q25" s="2523">
        <v>1</v>
      </c>
      <c r="S25" s="3211" t="s">
        <v>1854</v>
      </c>
    </row>
    <row r="26" spans="1:19" ht="14.4" thickTop="1">
      <c r="A26" s="2543"/>
      <c r="B26" s="2543"/>
      <c r="C26" s="2543"/>
      <c r="D26" s="2543"/>
      <c r="E26" s="2543"/>
      <c r="F26" s="2543"/>
      <c r="G26" s="2543"/>
      <c r="H26" s="2543"/>
      <c r="I26" s="2543"/>
      <c r="J26" s="2543"/>
      <c r="K26" s="2543"/>
      <c r="M26" s="2523" t="s">
        <v>1688</v>
      </c>
      <c r="N26" s="2523" t="s">
        <v>1997</v>
      </c>
      <c r="O26" s="3211" t="s">
        <v>2136</v>
      </c>
      <c r="P26" s="3213"/>
      <c r="Q26" s="2523">
        <v>1</v>
      </c>
      <c r="S26" s="3211" t="s">
        <v>1854</v>
      </c>
    </row>
    <row r="27" spans="1:19" ht="13.8">
      <c r="M27" s="2523" t="s">
        <v>1689</v>
      </c>
      <c r="N27" s="2523" t="s">
        <v>1998</v>
      </c>
      <c r="O27" s="3211" t="s">
        <v>2136</v>
      </c>
      <c r="P27" s="3213">
        <v>1</v>
      </c>
      <c r="Q27" s="2523">
        <v>1</v>
      </c>
      <c r="S27" s="3211" t="s">
        <v>1854</v>
      </c>
    </row>
    <row r="28" spans="1:19" ht="13.8">
      <c r="M28" s="2523" t="s">
        <v>1690</v>
      </c>
      <c r="N28" s="2523" t="s">
        <v>1999</v>
      </c>
      <c r="O28" s="3211" t="s">
        <v>2136</v>
      </c>
      <c r="P28" s="3213">
        <v>1</v>
      </c>
      <c r="Q28" s="2523">
        <v>1</v>
      </c>
      <c r="S28" s="3211" t="s">
        <v>1854</v>
      </c>
    </row>
    <row r="29" spans="1:19" ht="13.8">
      <c r="M29" s="2523" t="s">
        <v>1703</v>
      </c>
      <c r="N29" s="2523" t="s">
        <v>2005</v>
      </c>
      <c r="O29" s="3211" t="s">
        <v>2136</v>
      </c>
      <c r="P29" s="3213">
        <v>1</v>
      </c>
      <c r="Q29" s="2523">
        <v>1</v>
      </c>
      <c r="S29" s="3211" t="s">
        <v>1854</v>
      </c>
    </row>
    <row r="30" spans="1:19" ht="13.8">
      <c r="M30" s="2523" t="s">
        <v>1729</v>
      </c>
      <c r="N30" s="2523" t="s">
        <v>2026</v>
      </c>
      <c r="O30" s="3211" t="s">
        <v>2136</v>
      </c>
      <c r="P30" s="3213">
        <v>1</v>
      </c>
      <c r="Q30" s="2523">
        <v>1</v>
      </c>
      <c r="S30" s="3211" t="s">
        <v>1854</v>
      </c>
    </row>
    <row r="31" spans="1:19" ht="13.8">
      <c r="M31" s="2523" t="s">
        <v>1732</v>
      </c>
      <c r="N31" s="2523" t="s">
        <v>2028</v>
      </c>
      <c r="O31" s="3211" t="s">
        <v>2136</v>
      </c>
      <c r="P31" s="3213"/>
      <c r="Q31" s="2523">
        <v>1</v>
      </c>
      <c r="S31" s="3211" t="s">
        <v>1854</v>
      </c>
    </row>
    <row r="32" spans="1:19" ht="13.8">
      <c r="M32" s="2523" t="s">
        <v>1734</v>
      </c>
      <c r="N32" s="2523" t="s">
        <v>2030</v>
      </c>
      <c r="O32" s="3211" t="s">
        <v>2136</v>
      </c>
      <c r="P32" s="3213"/>
      <c r="Q32" s="2523">
        <v>1</v>
      </c>
      <c r="S32" s="3211" t="s">
        <v>1854</v>
      </c>
    </row>
    <row r="33" spans="13:19" ht="13.8">
      <c r="M33" s="2523" t="s">
        <v>1742</v>
      </c>
      <c r="N33" s="2523" t="s">
        <v>2037</v>
      </c>
      <c r="O33" s="3211" t="s">
        <v>2136</v>
      </c>
      <c r="P33" s="3213">
        <v>1</v>
      </c>
      <c r="Q33" s="2523">
        <v>1</v>
      </c>
      <c r="S33" s="3211" t="s">
        <v>1854</v>
      </c>
    </row>
    <row r="34" spans="13:19" ht="13.8">
      <c r="M34" s="2523" t="s">
        <v>1743</v>
      </c>
      <c r="N34" s="2523" t="s">
        <v>2038</v>
      </c>
      <c r="O34" s="3211" t="s">
        <v>2136</v>
      </c>
      <c r="P34" s="3213"/>
      <c r="S34" s="3211" t="s">
        <v>1854</v>
      </c>
    </row>
    <row r="35" spans="13:19" ht="13.8">
      <c r="M35" s="2523" t="s">
        <v>1748</v>
      </c>
      <c r="N35" s="2523" t="s">
        <v>2041</v>
      </c>
      <c r="O35" s="3211" t="s">
        <v>2136</v>
      </c>
      <c r="P35" s="3213"/>
      <c r="Q35" s="2523">
        <v>1</v>
      </c>
      <c r="S35" s="3211" t="s">
        <v>1854</v>
      </c>
    </row>
    <row r="36" spans="13:19" ht="13.8">
      <c r="M36" s="2523" t="s">
        <v>1749</v>
      </c>
      <c r="N36" s="2523" t="s">
        <v>2042</v>
      </c>
      <c r="O36" s="3211" t="s">
        <v>2136</v>
      </c>
      <c r="P36" s="3213"/>
      <c r="Q36" s="2523">
        <v>1</v>
      </c>
      <c r="S36" s="3211" t="s">
        <v>1854</v>
      </c>
    </row>
    <row r="37" spans="13:19" ht="13.8">
      <c r="M37" s="2523" t="s">
        <v>1750</v>
      </c>
      <c r="N37" s="2523" t="s">
        <v>2043</v>
      </c>
      <c r="O37" s="3211" t="s">
        <v>2136</v>
      </c>
      <c r="P37" s="3213"/>
      <c r="Q37" s="2523">
        <v>1</v>
      </c>
      <c r="S37" s="3211" t="s">
        <v>1854</v>
      </c>
    </row>
    <row r="38" spans="13:19" ht="13.8">
      <c r="M38" s="2523" t="s">
        <v>1753</v>
      </c>
      <c r="N38" s="2523" t="s">
        <v>2046</v>
      </c>
      <c r="O38" s="3211" t="s">
        <v>2136</v>
      </c>
      <c r="P38" s="3213"/>
      <c r="S38" s="3211" t="s">
        <v>1854</v>
      </c>
    </row>
    <row r="39" spans="13:19" ht="13.8">
      <c r="M39" s="2523" t="s">
        <v>1758</v>
      </c>
      <c r="N39" s="2523" t="s">
        <v>2050</v>
      </c>
      <c r="O39" s="3211" t="s">
        <v>2136</v>
      </c>
      <c r="P39" s="3213"/>
      <c r="S39" s="3211" t="s">
        <v>1854</v>
      </c>
    </row>
    <row r="40" spans="13:19" ht="13.8">
      <c r="M40" s="2523" t="s">
        <v>1762</v>
      </c>
      <c r="N40" s="2523" t="s">
        <v>2053</v>
      </c>
      <c r="O40" s="3211" t="s">
        <v>2136</v>
      </c>
      <c r="P40" s="3213"/>
      <c r="S40" s="3211" t="s">
        <v>1854</v>
      </c>
    </row>
    <row r="41" spans="13:19" ht="13.8">
      <c r="M41" s="2523" t="s">
        <v>1763</v>
      </c>
      <c r="N41" s="2523" t="s">
        <v>2054</v>
      </c>
      <c r="O41" s="3211" t="s">
        <v>2136</v>
      </c>
      <c r="P41" s="3213"/>
      <c r="Q41" s="2523">
        <v>1</v>
      </c>
      <c r="S41" s="3211" t="s">
        <v>1854</v>
      </c>
    </row>
    <row r="42" spans="13:19" ht="13.8">
      <c r="M42" s="2523" t="s">
        <v>1764</v>
      </c>
      <c r="N42" s="2523" t="s">
        <v>2055</v>
      </c>
      <c r="O42" s="3211" t="s">
        <v>2136</v>
      </c>
      <c r="P42" s="3213"/>
      <c r="Q42" s="2523">
        <v>1</v>
      </c>
      <c r="S42" s="3211" t="s">
        <v>1854</v>
      </c>
    </row>
    <row r="43" spans="13:19" ht="13.8">
      <c r="M43" s="2523" t="s">
        <v>2142</v>
      </c>
      <c r="N43" s="2523" t="s">
        <v>2143</v>
      </c>
      <c r="O43" s="3211" t="s">
        <v>2136</v>
      </c>
      <c r="P43" s="3213"/>
      <c r="S43" s="3211" t="s">
        <v>1854</v>
      </c>
    </row>
    <row r="44" spans="13:19" ht="13.8">
      <c r="M44" s="2523" t="s">
        <v>1767</v>
      </c>
      <c r="N44" s="2523" t="s">
        <v>2056</v>
      </c>
      <c r="O44" s="3212" t="s">
        <v>2136</v>
      </c>
      <c r="P44" s="3213"/>
      <c r="Q44" s="2523">
        <v>1</v>
      </c>
      <c r="S44" s="3212" t="s">
        <v>1854</v>
      </c>
    </row>
    <row r="45" spans="13:19" ht="13.8">
      <c r="M45" s="2523" t="s">
        <v>1787</v>
      </c>
      <c r="N45" s="2523" t="s">
        <v>2068</v>
      </c>
      <c r="O45" s="3211" t="s">
        <v>2136</v>
      </c>
      <c r="P45" s="3213"/>
      <c r="Q45" s="2523">
        <v>1</v>
      </c>
      <c r="S45" s="3211" t="s">
        <v>1854</v>
      </c>
    </row>
    <row r="46" spans="13:19" ht="13.8">
      <c r="M46" s="2523" t="s">
        <v>1788</v>
      </c>
      <c r="N46" s="2523" t="s">
        <v>2069</v>
      </c>
      <c r="O46" s="3211" t="s">
        <v>2136</v>
      </c>
      <c r="P46" s="3213"/>
      <c r="Q46" s="2523">
        <v>1</v>
      </c>
      <c r="S46" s="3211" t="s">
        <v>1854</v>
      </c>
    </row>
    <row r="47" spans="13:19" ht="13.8">
      <c r="M47" s="2523" t="s">
        <v>1789</v>
      </c>
      <c r="N47" s="2523" t="s">
        <v>2070</v>
      </c>
      <c r="O47" s="3211" t="s">
        <v>2136</v>
      </c>
      <c r="P47" s="3213">
        <v>1</v>
      </c>
      <c r="Q47" s="2523">
        <v>1</v>
      </c>
      <c r="S47" s="3211" t="s">
        <v>1854</v>
      </c>
    </row>
    <row r="48" spans="13:19" ht="13.8">
      <c r="M48" s="2523" t="s">
        <v>1790</v>
      </c>
      <c r="N48" s="2523" t="s">
        <v>2071</v>
      </c>
      <c r="O48" s="3211" t="s">
        <v>2136</v>
      </c>
      <c r="P48" s="3213">
        <v>1</v>
      </c>
      <c r="Q48" s="2523">
        <v>1</v>
      </c>
      <c r="S48" s="3211" t="s">
        <v>1854</v>
      </c>
    </row>
    <row r="49" spans="13:19" ht="13.8">
      <c r="M49" s="2523" t="s">
        <v>1791</v>
      </c>
      <c r="N49" s="2523" t="s">
        <v>2072</v>
      </c>
      <c r="O49" s="3211" t="s">
        <v>2136</v>
      </c>
      <c r="P49" s="3213">
        <v>1</v>
      </c>
      <c r="Q49" s="2523">
        <v>1</v>
      </c>
      <c r="S49" s="3211" t="s">
        <v>1854</v>
      </c>
    </row>
    <row r="50" spans="13:19" ht="13.8">
      <c r="M50" s="2523" t="s">
        <v>1793</v>
      </c>
      <c r="N50" s="2523" t="s">
        <v>2073</v>
      </c>
      <c r="O50" s="3211" t="s">
        <v>2136</v>
      </c>
      <c r="P50" s="3213"/>
      <c r="Q50" s="2523">
        <v>1</v>
      </c>
      <c r="S50" s="3211" t="s">
        <v>1854</v>
      </c>
    </row>
    <row r="51" spans="13:19" ht="13.8">
      <c r="M51" s="2523" t="s">
        <v>1836</v>
      </c>
      <c r="N51" s="2523" t="s">
        <v>2097</v>
      </c>
      <c r="O51" s="3211" t="s">
        <v>2136</v>
      </c>
      <c r="P51" s="3213">
        <v>1</v>
      </c>
      <c r="R51" s="2523">
        <v>1</v>
      </c>
      <c r="S51" s="3211" t="s">
        <v>1854</v>
      </c>
    </row>
    <row r="52" spans="13:19" ht="13.8">
      <c r="M52" s="2523" t="s">
        <v>1839</v>
      </c>
      <c r="N52" s="2523" t="s">
        <v>2099</v>
      </c>
      <c r="O52" s="3211" t="s">
        <v>2136</v>
      </c>
      <c r="P52" s="3213"/>
      <c r="Q52" s="2523">
        <v>1</v>
      </c>
      <c r="S52" s="3211" t="s">
        <v>1854</v>
      </c>
    </row>
    <row r="53" spans="13:19" ht="13.8">
      <c r="M53" s="2523" t="s">
        <v>1842</v>
      </c>
      <c r="N53" s="2523" t="s">
        <v>2101</v>
      </c>
      <c r="O53" s="3211" t="s">
        <v>2136</v>
      </c>
      <c r="P53" s="3213"/>
      <c r="S53" s="3211" t="s">
        <v>1854</v>
      </c>
    </row>
    <row r="54" spans="13:19" ht="13.8">
      <c r="M54" s="2523" t="s">
        <v>1846</v>
      </c>
      <c r="N54" s="2523" t="s">
        <v>2105</v>
      </c>
      <c r="O54" s="3211" t="s">
        <v>2136</v>
      </c>
      <c r="P54" s="3213"/>
      <c r="S54" s="3211" t="s">
        <v>1854</v>
      </c>
    </row>
    <row r="55" spans="13:19" ht="13.8">
      <c r="M55" s="2523" t="s">
        <v>1847</v>
      </c>
      <c r="N55" s="2523" t="s">
        <v>2106</v>
      </c>
      <c r="O55" s="3211" t="s">
        <v>2136</v>
      </c>
      <c r="P55" s="3213"/>
      <c r="Q55" s="2523">
        <v>1</v>
      </c>
      <c r="S55" s="3211" t="s">
        <v>1854</v>
      </c>
    </row>
    <row r="56" spans="13:19" ht="13.8">
      <c r="M56" s="2523" t="s">
        <v>1852</v>
      </c>
      <c r="N56" s="2523" t="s">
        <v>2109</v>
      </c>
      <c r="O56" s="3211" t="s">
        <v>2136</v>
      </c>
      <c r="P56" s="3213">
        <v>1</v>
      </c>
      <c r="R56" s="2523">
        <v>1</v>
      </c>
      <c r="S56" s="3211" t="s">
        <v>1854</v>
      </c>
    </row>
    <row r="57" spans="13:19">
      <c r="M57" s="2523" t="s">
        <v>1602</v>
      </c>
      <c r="N57" s="2523" t="s">
        <v>1935</v>
      </c>
      <c r="O57" s="3210" t="s">
        <v>2136</v>
      </c>
      <c r="P57" s="3213"/>
      <c r="S57" s="3210" t="s">
        <v>1855</v>
      </c>
    </row>
    <row r="58" spans="13:19">
      <c r="M58" s="2523" t="s">
        <v>1603</v>
      </c>
      <c r="N58" s="2523" t="s">
        <v>1936</v>
      </c>
      <c r="O58" s="3210" t="s">
        <v>2136</v>
      </c>
      <c r="P58" s="3213"/>
      <c r="S58" s="3210" t="s">
        <v>1855</v>
      </c>
    </row>
    <row r="59" spans="13:19">
      <c r="M59" s="2523" t="s">
        <v>1604</v>
      </c>
      <c r="N59" s="2523" t="s">
        <v>1856</v>
      </c>
      <c r="O59" s="3210" t="s">
        <v>2136</v>
      </c>
      <c r="P59" s="3213">
        <v>1</v>
      </c>
      <c r="R59" s="2523">
        <v>1</v>
      </c>
      <c r="S59" s="3210" t="s">
        <v>1855</v>
      </c>
    </row>
    <row r="60" spans="13:19">
      <c r="M60" s="2523" t="s">
        <v>1610</v>
      </c>
      <c r="N60" s="2523" t="s">
        <v>1937</v>
      </c>
      <c r="O60" s="3210" t="s">
        <v>2136</v>
      </c>
      <c r="P60" s="3213"/>
      <c r="S60" s="3210" t="s">
        <v>1855</v>
      </c>
    </row>
    <row r="61" spans="13:19">
      <c r="M61" s="2523" t="s">
        <v>1611</v>
      </c>
      <c r="N61" s="2523" t="s">
        <v>1938</v>
      </c>
      <c r="O61" s="3210" t="s">
        <v>2136</v>
      </c>
      <c r="P61" s="3213">
        <v>1</v>
      </c>
      <c r="Q61" s="2523">
        <v>1</v>
      </c>
      <c r="S61" s="3210" t="s">
        <v>1855</v>
      </c>
    </row>
    <row r="62" spans="13:19">
      <c r="M62" s="2523" t="s">
        <v>1612</v>
      </c>
      <c r="N62" s="2523" t="s">
        <v>1939</v>
      </c>
      <c r="O62" s="3210" t="s">
        <v>2136</v>
      </c>
      <c r="P62" s="3213"/>
      <c r="S62" s="3210" t="s">
        <v>1855</v>
      </c>
    </row>
    <row r="63" spans="13:19">
      <c r="M63" s="2523" t="s">
        <v>1616</v>
      </c>
      <c r="N63" s="2523" t="s">
        <v>1942</v>
      </c>
      <c r="O63" s="3210" t="s">
        <v>2136</v>
      </c>
      <c r="P63" s="3213"/>
      <c r="S63" s="3210" t="s">
        <v>1855</v>
      </c>
    </row>
    <row r="64" spans="13:19">
      <c r="M64" s="2523" t="s">
        <v>1618</v>
      </c>
      <c r="N64" s="2523" t="s">
        <v>1943</v>
      </c>
      <c r="O64" s="3210" t="s">
        <v>2136</v>
      </c>
      <c r="P64" s="3213"/>
      <c r="S64" s="3210" t="s">
        <v>1855</v>
      </c>
    </row>
    <row r="65" spans="13:19">
      <c r="M65" s="2523" t="s">
        <v>1619</v>
      </c>
      <c r="N65" s="2523" t="s">
        <v>1944</v>
      </c>
      <c r="O65" s="3210" t="s">
        <v>2136</v>
      </c>
      <c r="P65" s="3213"/>
      <c r="S65" s="3210" t="s">
        <v>1855</v>
      </c>
    </row>
    <row r="66" spans="13:19">
      <c r="M66" s="2523" t="s">
        <v>1620</v>
      </c>
      <c r="N66" s="2523" t="s">
        <v>1945</v>
      </c>
      <c r="O66" s="3210" t="s">
        <v>2136</v>
      </c>
      <c r="P66" s="3213"/>
      <c r="S66" s="3210" t="s">
        <v>1855</v>
      </c>
    </row>
    <row r="67" spans="13:19">
      <c r="M67" s="2523" t="s">
        <v>2145</v>
      </c>
      <c r="N67" s="2523" t="s">
        <v>2144</v>
      </c>
      <c r="O67" s="3210" t="s">
        <v>2136</v>
      </c>
      <c r="P67" s="3213"/>
      <c r="Q67" s="2523">
        <v>1</v>
      </c>
      <c r="S67" s="3210" t="s">
        <v>1855</v>
      </c>
    </row>
    <row r="68" spans="13:19">
      <c r="M68" s="2523" t="s">
        <v>1625</v>
      </c>
      <c r="N68" s="2523" t="s">
        <v>1947</v>
      </c>
      <c r="O68" s="3210" t="s">
        <v>1606</v>
      </c>
      <c r="P68" s="3213"/>
      <c r="S68" s="3210" t="s">
        <v>1857</v>
      </c>
    </row>
    <row r="69" spans="13:19" ht="13.8">
      <c r="M69" s="2523" t="s">
        <v>1627</v>
      </c>
      <c r="N69" s="2523" t="s">
        <v>1949</v>
      </c>
      <c r="O69" s="3211" t="s">
        <v>2136</v>
      </c>
      <c r="P69" s="3213">
        <v>1</v>
      </c>
      <c r="S69" s="3211" t="s">
        <v>1855</v>
      </c>
    </row>
    <row r="70" spans="13:19">
      <c r="M70" s="2523" t="s">
        <v>1630</v>
      </c>
      <c r="N70" s="2523" t="s">
        <v>1951</v>
      </c>
      <c r="O70" s="3210" t="s">
        <v>2136</v>
      </c>
      <c r="P70" s="3213"/>
      <c r="S70" s="3210" t="s">
        <v>1855</v>
      </c>
    </row>
    <row r="71" spans="13:19" ht="13.8">
      <c r="M71" s="2523" t="s">
        <v>1631</v>
      </c>
      <c r="N71" s="2523" t="s">
        <v>1952</v>
      </c>
      <c r="O71" s="3211" t="s">
        <v>2136</v>
      </c>
      <c r="P71" s="3213"/>
      <c r="S71" s="3211" t="s">
        <v>1855</v>
      </c>
    </row>
    <row r="72" spans="13:19" ht="13.8">
      <c r="M72" s="2523" t="s">
        <v>1632</v>
      </c>
      <c r="N72" s="2523" t="s">
        <v>1953</v>
      </c>
      <c r="O72" s="3211" t="s">
        <v>2136</v>
      </c>
      <c r="P72" s="3213"/>
      <c r="S72" s="3211" t="s">
        <v>1855</v>
      </c>
    </row>
    <row r="73" spans="13:19" ht="13.8">
      <c r="M73" s="2523" t="s">
        <v>1633</v>
      </c>
      <c r="N73" s="2523" t="s">
        <v>1954</v>
      </c>
      <c r="O73" s="3211" t="s">
        <v>2136</v>
      </c>
      <c r="P73" s="3213"/>
      <c r="Q73" s="2523">
        <v>1</v>
      </c>
      <c r="S73" s="3211" t="s">
        <v>1855</v>
      </c>
    </row>
    <row r="74" spans="13:19" ht="13.8">
      <c r="M74" s="2523" t="s">
        <v>1634</v>
      </c>
      <c r="N74" s="2523" t="s">
        <v>1955</v>
      </c>
      <c r="O74" s="3211" t="s">
        <v>2136</v>
      </c>
      <c r="P74" s="3213"/>
      <c r="Q74" s="2523">
        <v>1</v>
      </c>
      <c r="S74" s="3211" t="s">
        <v>1855</v>
      </c>
    </row>
    <row r="75" spans="13:19" ht="13.8">
      <c r="M75" s="2523" t="s">
        <v>1635</v>
      </c>
      <c r="N75" s="2523" t="s">
        <v>1956</v>
      </c>
      <c r="O75" s="3211" t="s">
        <v>2136</v>
      </c>
      <c r="P75" s="3213"/>
      <c r="S75" s="3211" t="s">
        <v>1855</v>
      </c>
    </row>
    <row r="76" spans="13:19" ht="13.8">
      <c r="M76" s="2523" t="s">
        <v>1636</v>
      </c>
      <c r="N76" s="2523" t="s">
        <v>1957</v>
      </c>
      <c r="O76" s="3211" t="s">
        <v>2136</v>
      </c>
      <c r="P76" s="3213"/>
      <c r="S76" s="3211" t="s">
        <v>1855</v>
      </c>
    </row>
    <row r="77" spans="13:19" ht="13.8">
      <c r="M77" s="2523" t="s">
        <v>1641</v>
      </c>
      <c r="N77" s="2523" t="s">
        <v>1958</v>
      </c>
      <c r="O77" s="3211" t="s">
        <v>2136</v>
      </c>
      <c r="P77" s="3213"/>
      <c r="S77" s="3211" t="s">
        <v>1855</v>
      </c>
    </row>
    <row r="78" spans="13:19" ht="13.8">
      <c r="M78" s="2523" t="s">
        <v>1643</v>
      </c>
      <c r="N78" s="2523" t="s">
        <v>1960</v>
      </c>
      <c r="O78" s="3211" t="s">
        <v>2136</v>
      </c>
      <c r="P78" s="3213"/>
      <c r="S78" s="3211" t="s">
        <v>1855</v>
      </c>
    </row>
    <row r="79" spans="13:19" ht="13.8">
      <c r="M79" s="2523" t="s">
        <v>1644</v>
      </c>
      <c r="N79" s="2523" t="s">
        <v>1961</v>
      </c>
      <c r="O79" s="3211" t="s">
        <v>2136</v>
      </c>
      <c r="P79" s="3213"/>
      <c r="S79" s="3211" t="s">
        <v>1855</v>
      </c>
    </row>
    <row r="80" spans="13:19" ht="13.8">
      <c r="M80" s="2523" t="s">
        <v>1645</v>
      </c>
      <c r="N80" s="2523" t="s">
        <v>1962</v>
      </c>
      <c r="O80" s="3211" t="s">
        <v>2136</v>
      </c>
      <c r="P80" s="3213"/>
      <c r="S80" s="3211" t="s">
        <v>1855</v>
      </c>
    </row>
    <row r="81" spans="13:19" ht="13.8">
      <c r="M81" s="2523" t="s">
        <v>1646</v>
      </c>
      <c r="N81" s="2523" t="s">
        <v>1963</v>
      </c>
      <c r="O81" s="3211" t="s">
        <v>2136</v>
      </c>
      <c r="P81" s="3213"/>
      <c r="S81" s="3211" t="s">
        <v>1855</v>
      </c>
    </row>
    <row r="82" spans="13:19" ht="13.8">
      <c r="M82" s="2523" t="s">
        <v>1649</v>
      </c>
      <c r="N82" s="2523" t="s">
        <v>1965</v>
      </c>
      <c r="O82" s="3211" t="s">
        <v>2136</v>
      </c>
      <c r="P82" s="3213"/>
      <c r="S82" s="3211" t="s">
        <v>1855</v>
      </c>
    </row>
    <row r="83" spans="13:19" ht="13.8">
      <c r="M83" s="2523" t="s">
        <v>1650</v>
      </c>
      <c r="N83" s="2523" t="s">
        <v>1966</v>
      </c>
      <c r="O83" s="3211" t="s">
        <v>2136</v>
      </c>
      <c r="P83" s="3213"/>
      <c r="S83" s="3211" t="s">
        <v>1855</v>
      </c>
    </row>
    <row r="84" spans="13:19" ht="13.8">
      <c r="M84" s="2523" t="s">
        <v>1651</v>
      </c>
      <c r="N84" s="2523" t="s">
        <v>1967</v>
      </c>
      <c r="O84" s="3211" t="s">
        <v>2136</v>
      </c>
      <c r="P84" s="3213"/>
      <c r="S84" s="3211" t="s">
        <v>1855</v>
      </c>
    </row>
    <row r="85" spans="13:19" ht="13.8">
      <c r="M85" s="2523" t="s">
        <v>1652</v>
      </c>
      <c r="N85" s="2523" t="s">
        <v>1968</v>
      </c>
      <c r="O85" s="3211" t="s">
        <v>2136</v>
      </c>
      <c r="P85" s="3213"/>
      <c r="S85" s="3211" t="s">
        <v>1855</v>
      </c>
    </row>
    <row r="86" spans="13:19" ht="13.8">
      <c r="M86" s="2523" t="s">
        <v>1665</v>
      </c>
      <c r="N86" s="2523" t="s">
        <v>1979</v>
      </c>
      <c r="O86" s="3211" t="s">
        <v>2136</v>
      </c>
      <c r="P86" s="3213"/>
      <c r="S86" s="3211" t="s">
        <v>1855</v>
      </c>
    </row>
    <row r="87" spans="13:19" ht="13.8">
      <c r="M87" s="2523" t="s">
        <v>1653</v>
      </c>
      <c r="N87" s="2523" t="s">
        <v>1969</v>
      </c>
      <c r="O87" s="3211" t="s">
        <v>2136</v>
      </c>
      <c r="P87" s="3213"/>
      <c r="S87" s="3211" t="s">
        <v>1855</v>
      </c>
    </row>
    <row r="88" spans="13:19" ht="13.8">
      <c r="M88" s="2523" t="s">
        <v>1656</v>
      </c>
      <c r="N88" s="2523" t="s">
        <v>1970</v>
      </c>
      <c r="O88" s="3211" t="s">
        <v>2136</v>
      </c>
      <c r="P88" s="3213"/>
      <c r="S88" s="3211" t="s">
        <v>1855</v>
      </c>
    </row>
    <row r="89" spans="13:19" ht="13.8">
      <c r="M89" s="2523" t="s">
        <v>1659</v>
      </c>
      <c r="N89" s="2523" t="s">
        <v>1973</v>
      </c>
      <c r="O89" s="3211" t="s">
        <v>2136</v>
      </c>
      <c r="P89" s="3213"/>
      <c r="S89" s="3211" t="s">
        <v>1855</v>
      </c>
    </row>
    <row r="90" spans="13:19" ht="13.8">
      <c r="M90" s="2523" t="s">
        <v>1662</v>
      </c>
      <c r="N90" s="2523" t="s">
        <v>1976</v>
      </c>
      <c r="O90" s="3211" t="s">
        <v>2136</v>
      </c>
      <c r="P90" s="3213"/>
      <c r="Q90" s="2523">
        <v>1</v>
      </c>
      <c r="S90" s="3211" t="s">
        <v>1855</v>
      </c>
    </row>
    <row r="91" spans="13:19" ht="13.8">
      <c r="M91" s="2523" t="s">
        <v>1664</v>
      </c>
      <c r="N91" s="2523" t="s">
        <v>1978</v>
      </c>
      <c r="O91" s="3211" t="s">
        <v>2136</v>
      </c>
      <c r="P91" s="3213"/>
      <c r="S91" s="3211" t="s">
        <v>1855</v>
      </c>
    </row>
    <row r="92" spans="13:19" ht="13.8">
      <c r="M92" s="2523" t="s">
        <v>1666</v>
      </c>
      <c r="N92" s="2523" t="s">
        <v>1980</v>
      </c>
      <c r="O92" s="3211" t="s">
        <v>2136</v>
      </c>
      <c r="P92" s="3213"/>
      <c r="S92" s="3211" t="s">
        <v>1855</v>
      </c>
    </row>
    <row r="93" spans="13:19" ht="13.8">
      <c r="M93" s="2523" t="s">
        <v>1668</v>
      </c>
      <c r="N93" s="2523" t="s">
        <v>1981</v>
      </c>
      <c r="O93" s="3211" t="s">
        <v>2136</v>
      </c>
      <c r="P93" s="3213"/>
      <c r="S93" s="3211" t="s">
        <v>1855</v>
      </c>
    </row>
    <row r="94" spans="13:19" ht="13.8">
      <c r="M94" s="2523" t="s">
        <v>1669</v>
      </c>
      <c r="N94" s="2523" t="s">
        <v>1982</v>
      </c>
      <c r="O94" s="3211" t="s">
        <v>2136</v>
      </c>
      <c r="P94" s="3213"/>
      <c r="S94" s="3211" t="s">
        <v>1855</v>
      </c>
    </row>
    <row r="95" spans="13:19" ht="13.8">
      <c r="M95" s="2523" t="s">
        <v>1670</v>
      </c>
      <c r="N95" s="2523" t="s">
        <v>1983</v>
      </c>
      <c r="O95" s="3211" t="s">
        <v>2136</v>
      </c>
      <c r="P95" s="3213"/>
      <c r="S95" s="3211" t="s">
        <v>1855</v>
      </c>
    </row>
    <row r="96" spans="13:19" ht="13.8">
      <c r="M96" s="2523" t="s">
        <v>1676</v>
      </c>
      <c r="N96" s="2523" t="s">
        <v>1988</v>
      </c>
      <c r="O96" s="3211" t="s">
        <v>2136</v>
      </c>
      <c r="P96" s="3213"/>
      <c r="Q96" s="2523">
        <v>1</v>
      </c>
      <c r="S96" s="3211" t="s">
        <v>1855</v>
      </c>
    </row>
    <row r="97" spans="13:19" ht="13.8">
      <c r="M97" s="2523" t="s">
        <v>1680</v>
      </c>
      <c r="N97" s="2523" t="s">
        <v>1991</v>
      </c>
      <c r="O97" s="3211" t="s">
        <v>2136</v>
      </c>
      <c r="P97" s="3213">
        <v>1</v>
      </c>
      <c r="S97" s="3211" t="s">
        <v>1855</v>
      </c>
    </row>
    <row r="98" spans="13:19" ht="13.8">
      <c r="M98" s="2523" t="s">
        <v>1681</v>
      </c>
      <c r="N98" s="2523" t="s">
        <v>1992</v>
      </c>
      <c r="O98" s="3211" t="s">
        <v>2136</v>
      </c>
      <c r="P98" s="3213"/>
      <c r="S98" s="3211" t="s">
        <v>1855</v>
      </c>
    </row>
    <row r="99" spans="13:19" ht="13.8">
      <c r="M99" s="2523" t="s">
        <v>1682</v>
      </c>
      <c r="N99" s="2523" t="s">
        <v>1993</v>
      </c>
      <c r="O99" s="3211" t="s">
        <v>2136</v>
      </c>
      <c r="P99" s="3213"/>
      <c r="S99" s="3211" t="s">
        <v>1855</v>
      </c>
    </row>
    <row r="100" spans="13:19" ht="13.8">
      <c r="M100" s="2523" t="s">
        <v>1691</v>
      </c>
      <c r="N100" s="2523" t="s">
        <v>2000</v>
      </c>
      <c r="O100" s="3211" t="s">
        <v>2136</v>
      </c>
      <c r="P100" s="3213"/>
      <c r="S100" s="3211" t="s">
        <v>1855</v>
      </c>
    </row>
    <row r="101" spans="13:19" ht="13.8">
      <c r="M101" s="2523" t="s">
        <v>1692</v>
      </c>
      <c r="N101" s="2523" t="s">
        <v>2001</v>
      </c>
      <c r="O101" s="3211" t="s">
        <v>2136</v>
      </c>
      <c r="P101" s="3213"/>
      <c r="S101" s="3211" t="s">
        <v>1855</v>
      </c>
    </row>
    <row r="102" spans="13:19" ht="13.8">
      <c r="M102" s="2523" t="s">
        <v>1694</v>
      </c>
      <c r="N102" s="2523" t="s">
        <v>2002</v>
      </c>
      <c r="O102" s="3211" t="s">
        <v>2136</v>
      </c>
      <c r="P102" s="3213"/>
      <c r="S102" s="3211" t="s">
        <v>1855</v>
      </c>
    </row>
    <row r="103" spans="13:19" ht="13.8">
      <c r="M103" s="2523" t="s">
        <v>1807</v>
      </c>
      <c r="N103" s="2523" t="s">
        <v>2083</v>
      </c>
      <c r="O103" s="3211" t="s">
        <v>2136</v>
      </c>
      <c r="P103" s="3213"/>
      <c r="S103" s="3211" t="s">
        <v>1855</v>
      </c>
    </row>
    <row r="104" spans="13:19" ht="13.8">
      <c r="M104" s="2523" t="s">
        <v>1696</v>
      </c>
      <c r="N104" s="2523" t="s">
        <v>2003</v>
      </c>
      <c r="O104" s="3211" t="s">
        <v>2136</v>
      </c>
      <c r="P104" s="3213"/>
      <c r="S104" s="3211" t="s">
        <v>1855</v>
      </c>
    </row>
    <row r="105" spans="13:19" ht="13.8">
      <c r="M105" s="2523" t="s">
        <v>1697</v>
      </c>
      <c r="N105" s="2523" t="s">
        <v>2004</v>
      </c>
      <c r="O105" s="3211" t="s">
        <v>2136</v>
      </c>
      <c r="P105" s="3213"/>
      <c r="S105" s="3211" t="s">
        <v>1855</v>
      </c>
    </row>
    <row r="106" spans="13:19" ht="13.8">
      <c r="M106" s="2523" t="s">
        <v>2140</v>
      </c>
      <c r="N106" s="2523" t="s">
        <v>2141</v>
      </c>
      <c r="O106" s="3211" t="s">
        <v>2136</v>
      </c>
      <c r="P106" s="3213"/>
      <c r="S106" s="3211" t="s">
        <v>1855</v>
      </c>
    </row>
    <row r="107" spans="13:19" ht="13.8">
      <c r="M107" s="2523" t="s">
        <v>1704</v>
      </c>
      <c r="N107" s="2523" t="s">
        <v>2006</v>
      </c>
      <c r="O107" s="3211" t="s">
        <v>2136</v>
      </c>
      <c r="P107" s="3213"/>
      <c r="S107" s="3211" t="s">
        <v>1855</v>
      </c>
    </row>
    <row r="108" spans="13:19" ht="13.8">
      <c r="M108" s="2523" t="s">
        <v>1705</v>
      </c>
      <c r="N108" s="2523" t="s">
        <v>2007</v>
      </c>
      <c r="O108" s="3211" t="s">
        <v>2136</v>
      </c>
      <c r="P108" s="3213"/>
      <c r="S108" s="3211" t="s">
        <v>1855</v>
      </c>
    </row>
    <row r="109" spans="13:19" ht="13.8">
      <c r="M109" s="2523" t="s">
        <v>1706</v>
      </c>
      <c r="N109" s="2523" t="s">
        <v>2008</v>
      </c>
      <c r="O109" s="3211" t="s">
        <v>2136</v>
      </c>
      <c r="P109" s="3213"/>
      <c r="S109" s="3211" t="s">
        <v>1855</v>
      </c>
    </row>
    <row r="110" spans="13:19" ht="13.8">
      <c r="M110" s="2523" t="s">
        <v>1708</v>
      </c>
      <c r="N110" s="2523" t="s">
        <v>2009</v>
      </c>
      <c r="O110" s="3211" t="s">
        <v>2136</v>
      </c>
      <c r="P110" s="3213"/>
      <c r="S110" s="3211" t="s">
        <v>1855</v>
      </c>
    </row>
    <row r="111" spans="13:19" ht="13.8">
      <c r="M111" s="2523" t="s">
        <v>1709</v>
      </c>
      <c r="N111" s="2523" t="s">
        <v>2010</v>
      </c>
      <c r="O111" s="3211" t="s">
        <v>2136</v>
      </c>
      <c r="P111" s="3213"/>
      <c r="S111" s="3211" t="s">
        <v>1855</v>
      </c>
    </row>
    <row r="112" spans="13:19" ht="13.8">
      <c r="M112" s="2523" t="s">
        <v>1710</v>
      </c>
      <c r="N112" s="2523" t="s">
        <v>2011</v>
      </c>
      <c r="O112" s="3211" t="s">
        <v>2136</v>
      </c>
      <c r="P112" s="3213"/>
      <c r="S112" s="3211" t="s">
        <v>1855</v>
      </c>
    </row>
    <row r="113" spans="13:19" ht="13.8">
      <c r="M113" s="2523" t="s">
        <v>1711</v>
      </c>
      <c r="N113" s="2523" t="s">
        <v>2012</v>
      </c>
      <c r="O113" s="3211" t="s">
        <v>2136</v>
      </c>
      <c r="P113" s="3213"/>
      <c r="S113" s="3211" t="s">
        <v>1855</v>
      </c>
    </row>
    <row r="114" spans="13:19" ht="13.8">
      <c r="M114" s="2523" t="s">
        <v>1712</v>
      </c>
      <c r="N114" s="2523" t="s">
        <v>2013</v>
      </c>
      <c r="O114" s="3211" t="s">
        <v>2136</v>
      </c>
      <c r="P114" s="3213">
        <v>1</v>
      </c>
      <c r="S114" s="3211" t="s">
        <v>1855</v>
      </c>
    </row>
    <row r="115" spans="13:19" ht="13.8">
      <c r="M115" s="2523" t="s">
        <v>1713</v>
      </c>
      <c r="N115" s="2523" t="s">
        <v>2014</v>
      </c>
      <c r="O115" s="3211" t="s">
        <v>2136</v>
      </c>
      <c r="P115" s="3213"/>
      <c r="S115" s="3211" t="s">
        <v>1855</v>
      </c>
    </row>
    <row r="116" spans="13:19" ht="13.8">
      <c r="M116" s="2523" t="s">
        <v>1714</v>
      </c>
      <c r="N116" s="2523" t="s">
        <v>2015</v>
      </c>
      <c r="O116" s="3211" t="s">
        <v>2136</v>
      </c>
      <c r="P116" s="3213"/>
      <c r="S116" s="3211" t="s">
        <v>1855</v>
      </c>
    </row>
    <row r="117" spans="13:19" ht="13.8">
      <c r="M117" s="2523" t="s">
        <v>1715</v>
      </c>
      <c r="N117" s="2523" t="s">
        <v>2016</v>
      </c>
      <c r="O117" s="3211" t="s">
        <v>2136</v>
      </c>
      <c r="P117" s="3213"/>
      <c r="S117" s="3211" t="s">
        <v>1855</v>
      </c>
    </row>
    <row r="118" spans="13:19" ht="13.8">
      <c r="M118" s="2523" t="s">
        <v>1716</v>
      </c>
      <c r="N118" s="2523" t="s">
        <v>2017</v>
      </c>
      <c r="O118" s="3211" t="s">
        <v>2136</v>
      </c>
      <c r="P118" s="3213"/>
      <c r="S118" s="3211" t="s">
        <v>1855</v>
      </c>
    </row>
    <row r="119" spans="13:19" ht="13.8">
      <c r="M119" s="2523" t="s">
        <v>1717</v>
      </c>
      <c r="N119" s="2523" t="s">
        <v>2018</v>
      </c>
      <c r="O119" s="3211" t="s">
        <v>2136</v>
      </c>
      <c r="P119" s="3213">
        <v>1</v>
      </c>
      <c r="Q119" s="2523">
        <v>1</v>
      </c>
      <c r="S119" s="3211" t="s">
        <v>1855</v>
      </c>
    </row>
    <row r="120" spans="13:19" ht="13.8">
      <c r="M120" s="2523" t="s">
        <v>1719</v>
      </c>
      <c r="N120" s="2523" t="s">
        <v>2019</v>
      </c>
      <c r="O120" s="3211" t="s">
        <v>2136</v>
      </c>
      <c r="P120" s="3213"/>
      <c r="S120" s="3211" t="s">
        <v>1855</v>
      </c>
    </row>
    <row r="121" spans="13:19" ht="13.8">
      <c r="M121" s="2523" t="s">
        <v>1720</v>
      </c>
      <c r="N121" s="2523" t="s">
        <v>2020</v>
      </c>
      <c r="O121" s="3211" t="s">
        <v>2136</v>
      </c>
      <c r="P121" s="3213"/>
      <c r="S121" s="3211" t="s">
        <v>1855</v>
      </c>
    </row>
    <row r="122" spans="13:19" ht="13.8">
      <c r="M122" s="2523" t="s">
        <v>1721</v>
      </c>
      <c r="N122" s="2523" t="s">
        <v>2021</v>
      </c>
      <c r="O122" s="3211" t="s">
        <v>2136</v>
      </c>
      <c r="P122" s="3213"/>
      <c r="S122" s="3211" t="s">
        <v>1855</v>
      </c>
    </row>
    <row r="123" spans="13:19" ht="13.8">
      <c r="M123" s="2523" t="s">
        <v>1724</v>
      </c>
      <c r="N123" s="2523" t="s">
        <v>2022</v>
      </c>
      <c r="O123" s="3212" t="s">
        <v>2136</v>
      </c>
      <c r="P123" s="3213"/>
      <c r="S123" s="3212" t="s">
        <v>1855</v>
      </c>
    </row>
    <row r="124" spans="13:19" ht="13.8">
      <c r="M124" s="2523" t="s">
        <v>1725</v>
      </c>
      <c r="N124" s="2523" t="s">
        <v>2023</v>
      </c>
      <c r="O124" s="3211" t="s">
        <v>2136</v>
      </c>
      <c r="P124" s="3213"/>
      <c r="S124" s="3211" t="s">
        <v>1855</v>
      </c>
    </row>
    <row r="125" spans="13:19" ht="13.8">
      <c r="M125" s="2523" t="s">
        <v>1726</v>
      </c>
      <c r="N125" s="2523" t="s">
        <v>2024</v>
      </c>
      <c r="O125" s="3211" t="s">
        <v>2136</v>
      </c>
      <c r="P125" s="3213">
        <v>1</v>
      </c>
      <c r="R125" s="2523">
        <v>1</v>
      </c>
      <c r="S125" s="3211" t="s">
        <v>1855</v>
      </c>
    </row>
    <row r="126" spans="13:19" ht="13.8">
      <c r="M126" s="2523" t="s">
        <v>1727</v>
      </c>
      <c r="N126" s="2523" t="s">
        <v>2025</v>
      </c>
      <c r="O126" s="3211" t="s">
        <v>2136</v>
      </c>
      <c r="P126" s="3213"/>
      <c r="Q126" s="2523">
        <v>1</v>
      </c>
      <c r="S126" s="3211" t="s">
        <v>1855</v>
      </c>
    </row>
    <row r="127" spans="13:19" ht="13.8">
      <c r="M127" s="2523" t="s">
        <v>1730</v>
      </c>
      <c r="N127" s="2523" t="s">
        <v>2027</v>
      </c>
      <c r="O127" s="3211" t="s">
        <v>2136</v>
      </c>
      <c r="P127" s="3213">
        <v>1</v>
      </c>
      <c r="S127" s="3211" t="s">
        <v>1855</v>
      </c>
    </row>
    <row r="128" spans="13:19" ht="13.8">
      <c r="M128" s="2523" t="s">
        <v>1733</v>
      </c>
      <c r="N128" s="2523" t="s">
        <v>2029</v>
      </c>
      <c r="O128" s="3211" t="s">
        <v>2136</v>
      </c>
      <c r="P128" s="3213"/>
      <c r="S128" s="3211" t="s">
        <v>1855</v>
      </c>
    </row>
    <row r="129" spans="13:19" ht="13.8">
      <c r="M129" s="2523" t="s">
        <v>1735</v>
      </c>
      <c r="N129" s="2523" t="s">
        <v>2031</v>
      </c>
      <c r="O129" s="3211" t="s">
        <v>2136</v>
      </c>
      <c r="P129" s="3213"/>
      <c r="S129" s="3211" t="s">
        <v>1855</v>
      </c>
    </row>
    <row r="130" spans="13:19" ht="13.8">
      <c r="M130" s="2523" t="s">
        <v>1737</v>
      </c>
      <c r="N130" s="2523" t="s">
        <v>2033</v>
      </c>
      <c r="O130" s="3211" t="s">
        <v>2136</v>
      </c>
      <c r="P130" s="3213"/>
      <c r="S130" s="3211" t="s">
        <v>1855</v>
      </c>
    </row>
    <row r="131" spans="13:19" ht="13.8">
      <c r="M131" s="2523" t="s">
        <v>1738</v>
      </c>
      <c r="N131" s="2523" t="s">
        <v>2034</v>
      </c>
      <c r="O131" s="3211" t="s">
        <v>2136</v>
      </c>
      <c r="P131" s="3213"/>
      <c r="S131" s="3211" t="s">
        <v>1855</v>
      </c>
    </row>
    <row r="132" spans="13:19" ht="13.8">
      <c r="M132" s="2523" t="s">
        <v>1736</v>
      </c>
      <c r="N132" s="2523" t="s">
        <v>2032</v>
      </c>
      <c r="O132" s="3211" t="s">
        <v>2136</v>
      </c>
      <c r="P132" s="3213"/>
      <c r="S132" s="3211" t="s">
        <v>1855</v>
      </c>
    </row>
    <row r="133" spans="13:19" ht="13.8">
      <c r="M133" s="2523" t="s">
        <v>1739</v>
      </c>
      <c r="N133" s="2523" t="s">
        <v>2035</v>
      </c>
      <c r="O133" s="3211" t="s">
        <v>2136</v>
      </c>
      <c r="P133" s="3213"/>
      <c r="S133" s="3211" t="s">
        <v>1855</v>
      </c>
    </row>
    <row r="134" spans="13:19" ht="13.8">
      <c r="M134" s="2523" t="s">
        <v>1741</v>
      </c>
      <c r="N134" s="2523" t="s">
        <v>2036</v>
      </c>
      <c r="O134" s="3211" t="s">
        <v>2136</v>
      </c>
      <c r="P134" s="3213"/>
      <c r="S134" s="3211" t="s">
        <v>1855</v>
      </c>
    </row>
    <row r="135" spans="13:19" ht="13.8">
      <c r="M135" s="2523" t="s">
        <v>1746</v>
      </c>
      <c r="N135" s="2523" t="s">
        <v>2039</v>
      </c>
      <c r="O135" s="3211" t="s">
        <v>2136</v>
      </c>
      <c r="P135" s="3213"/>
      <c r="S135" s="3211" t="s">
        <v>1855</v>
      </c>
    </row>
    <row r="136" spans="13:19" ht="13.8">
      <c r="M136" s="2523" t="s">
        <v>1747</v>
      </c>
      <c r="N136" s="2523" t="s">
        <v>2040</v>
      </c>
      <c r="O136" s="3211" t="s">
        <v>2136</v>
      </c>
      <c r="P136" s="3213"/>
      <c r="S136" s="3211" t="s">
        <v>1855</v>
      </c>
    </row>
    <row r="137" spans="13:19" ht="13.8">
      <c r="M137" s="2523" t="s">
        <v>1751</v>
      </c>
      <c r="N137" s="2523" t="s">
        <v>2044</v>
      </c>
      <c r="O137" s="3211" t="s">
        <v>2136</v>
      </c>
      <c r="P137" s="3213"/>
      <c r="S137" s="3211" t="s">
        <v>1855</v>
      </c>
    </row>
    <row r="138" spans="13:19" ht="13.8">
      <c r="M138" s="2523" t="s">
        <v>1752</v>
      </c>
      <c r="N138" s="2523" t="s">
        <v>2045</v>
      </c>
      <c r="O138" s="3211" t="s">
        <v>2136</v>
      </c>
      <c r="P138" s="3213"/>
      <c r="S138" s="3211" t="s">
        <v>1855</v>
      </c>
    </row>
    <row r="139" spans="13:19" ht="13.8">
      <c r="M139" s="2523" t="s">
        <v>1754</v>
      </c>
      <c r="N139" s="2523" t="s">
        <v>2047</v>
      </c>
      <c r="O139" s="3211" t="s">
        <v>2136</v>
      </c>
      <c r="P139" s="3213"/>
      <c r="S139" s="3211" t="s">
        <v>1855</v>
      </c>
    </row>
    <row r="140" spans="13:19" ht="13.8">
      <c r="M140" s="2523" t="s">
        <v>1755</v>
      </c>
      <c r="N140" s="2523" t="s">
        <v>2048</v>
      </c>
      <c r="O140" s="3211" t="s">
        <v>2136</v>
      </c>
      <c r="P140" s="3213"/>
      <c r="S140" s="3211" t="s">
        <v>1855</v>
      </c>
    </row>
    <row r="141" spans="13:19" ht="13.8">
      <c r="M141" s="2523" t="s">
        <v>1757</v>
      </c>
      <c r="N141" s="2523" t="s">
        <v>2049</v>
      </c>
      <c r="O141" s="3211" t="s">
        <v>2136</v>
      </c>
      <c r="P141" s="3213"/>
      <c r="S141" s="3211" t="s">
        <v>1855</v>
      </c>
    </row>
    <row r="142" spans="13:19" ht="13.8">
      <c r="M142" s="2523" t="s">
        <v>1759</v>
      </c>
      <c r="N142" s="2523" t="s">
        <v>2051</v>
      </c>
      <c r="O142" s="3211" t="s">
        <v>2136</v>
      </c>
      <c r="P142" s="3213"/>
      <c r="S142" s="3211" t="s">
        <v>1855</v>
      </c>
    </row>
    <row r="143" spans="13:19" ht="13.8">
      <c r="M143" s="2523" t="s">
        <v>1761</v>
      </c>
      <c r="N143" s="2523" t="s">
        <v>2052</v>
      </c>
      <c r="O143" s="3211" t="s">
        <v>2136</v>
      </c>
      <c r="P143" s="3213"/>
      <c r="S143" s="3211" t="s">
        <v>1855</v>
      </c>
    </row>
    <row r="144" spans="13:19" ht="13.8">
      <c r="M144" s="2523" t="s">
        <v>1765</v>
      </c>
      <c r="N144" s="2523" t="s">
        <v>1933</v>
      </c>
      <c r="O144" s="3211" t="s">
        <v>2136</v>
      </c>
      <c r="P144" s="3213"/>
      <c r="S144" s="3211" t="s">
        <v>1855</v>
      </c>
    </row>
    <row r="145" spans="13:19" ht="13.8">
      <c r="M145" s="2523" t="s">
        <v>1768</v>
      </c>
      <c r="N145" s="2523" t="s">
        <v>2057</v>
      </c>
      <c r="O145" s="3211" t="s">
        <v>2136</v>
      </c>
      <c r="P145" s="3213"/>
      <c r="S145" s="3211" t="s">
        <v>1855</v>
      </c>
    </row>
    <row r="146" spans="13:19" ht="13.8">
      <c r="M146" s="2523" t="s">
        <v>1775</v>
      </c>
      <c r="N146" s="2523" t="s">
        <v>2058</v>
      </c>
      <c r="O146" s="3211" t="s">
        <v>2136</v>
      </c>
      <c r="P146" s="3213"/>
      <c r="S146" s="3211" t="s">
        <v>1855</v>
      </c>
    </row>
    <row r="147" spans="13:19" ht="13.8">
      <c r="M147" s="2523" t="s">
        <v>1776</v>
      </c>
      <c r="N147" s="2523" t="s">
        <v>2059</v>
      </c>
      <c r="O147" s="3211" t="s">
        <v>2136</v>
      </c>
      <c r="P147" s="3213">
        <v>1</v>
      </c>
      <c r="S147" s="3211" t="s">
        <v>1855</v>
      </c>
    </row>
    <row r="148" spans="13:19" ht="13.8">
      <c r="M148" s="2523" t="s">
        <v>1778</v>
      </c>
      <c r="N148" s="2523" t="s">
        <v>2060</v>
      </c>
      <c r="O148" s="3211" t="s">
        <v>2136</v>
      </c>
      <c r="P148" s="3213"/>
      <c r="S148" s="3211" t="s">
        <v>1855</v>
      </c>
    </row>
    <row r="149" spans="13:19" ht="13.8">
      <c r="M149" s="2523" t="s">
        <v>1779</v>
      </c>
      <c r="N149" s="2523" t="s">
        <v>2061</v>
      </c>
      <c r="O149" s="3211" t="s">
        <v>2136</v>
      </c>
      <c r="P149" s="3213">
        <v>1</v>
      </c>
      <c r="R149" s="2523">
        <v>1</v>
      </c>
      <c r="S149" s="3211" t="s">
        <v>1855</v>
      </c>
    </row>
    <row r="150" spans="13:19" ht="13.8">
      <c r="M150" s="2523" t="s">
        <v>1780</v>
      </c>
      <c r="N150" s="2523" t="s">
        <v>2062</v>
      </c>
      <c r="O150" s="3211" t="s">
        <v>2136</v>
      </c>
      <c r="P150" s="3213"/>
      <c r="S150" s="3211" t="s">
        <v>1855</v>
      </c>
    </row>
    <row r="151" spans="13:19" ht="13.8">
      <c r="M151" s="2523" t="s">
        <v>1781</v>
      </c>
      <c r="N151" s="2523" t="s">
        <v>2063</v>
      </c>
      <c r="O151" s="3211" t="s">
        <v>2136</v>
      </c>
      <c r="P151" s="3213"/>
      <c r="S151" s="3211" t="s">
        <v>1855</v>
      </c>
    </row>
    <row r="152" spans="13:19" ht="13.8">
      <c r="M152" s="2523" t="s">
        <v>1782</v>
      </c>
      <c r="N152" s="2523" t="s">
        <v>2064</v>
      </c>
      <c r="O152" s="3211" t="s">
        <v>2136</v>
      </c>
      <c r="P152" s="3213"/>
      <c r="S152" s="3211" t="s">
        <v>1855</v>
      </c>
    </row>
    <row r="153" spans="13:19" ht="13.8">
      <c r="M153" s="2523" t="s">
        <v>1783</v>
      </c>
      <c r="N153" s="2523" t="s">
        <v>2065</v>
      </c>
      <c r="O153" s="3211" t="s">
        <v>2136</v>
      </c>
      <c r="P153" s="3213"/>
      <c r="S153" s="3211" t="s">
        <v>1855</v>
      </c>
    </row>
    <row r="154" spans="13:19" ht="13.8">
      <c r="M154" s="2523" t="s">
        <v>1784</v>
      </c>
      <c r="N154" s="2523" t="s">
        <v>2066</v>
      </c>
      <c r="O154" s="3211" t="s">
        <v>2136</v>
      </c>
      <c r="P154" s="3213"/>
      <c r="S154" s="3211" t="s">
        <v>1855</v>
      </c>
    </row>
    <row r="155" spans="13:19" ht="13.8">
      <c r="M155" s="2523" t="s">
        <v>1786</v>
      </c>
      <c r="N155" s="2523" t="s">
        <v>2067</v>
      </c>
      <c r="O155" s="3211" t="s">
        <v>2136</v>
      </c>
      <c r="P155" s="3213"/>
      <c r="S155" s="3211" t="s">
        <v>1855</v>
      </c>
    </row>
    <row r="156" spans="13:19" ht="13.8">
      <c r="M156" s="2523" t="s">
        <v>1795</v>
      </c>
      <c r="N156" s="2523" t="s">
        <v>2074</v>
      </c>
      <c r="O156" s="3211" t="s">
        <v>2136</v>
      </c>
      <c r="P156" s="3213"/>
      <c r="S156" s="3211" t="s">
        <v>1855</v>
      </c>
    </row>
    <row r="157" spans="13:19" ht="13.8">
      <c r="M157" s="2523" t="s">
        <v>1796</v>
      </c>
      <c r="N157" s="2523" t="s">
        <v>2075</v>
      </c>
      <c r="O157" s="3211" t="s">
        <v>2136</v>
      </c>
      <c r="P157" s="3213"/>
      <c r="S157" s="3211" t="s">
        <v>1855</v>
      </c>
    </row>
    <row r="158" spans="13:19" ht="13.8">
      <c r="M158" s="2523" t="s">
        <v>1797</v>
      </c>
      <c r="N158" s="2523" t="s">
        <v>2076</v>
      </c>
      <c r="O158" s="3211" t="s">
        <v>2136</v>
      </c>
      <c r="P158" s="3213"/>
      <c r="S158" s="3211" t="s">
        <v>1855</v>
      </c>
    </row>
    <row r="159" spans="13:19" ht="13.8">
      <c r="M159" s="2523" t="s">
        <v>1798</v>
      </c>
      <c r="N159" s="2523" t="s">
        <v>2077</v>
      </c>
      <c r="O159" s="3211" t="s">
        <v>2136</v>
      </c>
      <c r="P159" s="3213"/>
      <c r="S159" s="3211" t="s">
        <v>1855</v>
      </c>
    </row>
    <row r="160" spans="13:19" ht="13.8">
      <c r="M160" s="2523" t="s">
        <v>1799</v>
      </c>
      <c r="N160" s="2523" t="s">
        <v>2078</v>
      </c>
      <c r="O160" s="3211" t="s">
        <v>2136</v>
      </c>
      <c r="P160" s="3213"/>
      <c r="S160" s="3211" t="s">
        <v>1855</v>
      </c>
    </row>
    <row r="161" spans="13:19" ht="13.8">
      <c r="M161" s="2523" t="s">
        <v>1800</v>
      </c>
      <c r="N161" s="2523" t="s">
        <v>2079</v>
      </c>
      <c r="O161" s="3211" t="s">
        <v>2136</v>
      </c>
      <c r="P161" s="3213"/>
      <c r="S161" s="3211" t="s">
        <v>1855</v>
      </c>
    </row>
    <row r="162" spans="13:19" ht="13.8">
      <c r="M162" s="2523" t="s">
        <v>1801</v>
      </c>
      <c r="N162" s="2523" t="s">
        <v>2080</v>
      </c>
      <c r="O162" s="3211" t="s">
        <v>2136</v>
      </c>
      <c r="P162" s="3213"/>
      <c r="Q162" s="2523">
        <v>1</v>
      </c>
      <c r="S162" s="3211" t="s">
        <v>1855</v>
      </c>
    </row>
    <row r="163" spans="13:19" ht="13.8">
      <c r="M163" s="2523" t="s">
        <v>1804</v>
      </c>
      <c r="N163" s="2523" t="s">
        <v>2081</v>
      </c>
      <c r="O163" s="3211" t="s">
        <v>2136</v>
      </c>
      <c r="P163" s="3213"/>
      <c r="Q163" s="2523">
        <v>1</v>
      </c>
      <c r="S163" s="3211" t="s">
        <v>1855</v>
      </c>
    </row>
    <row r="164" spans="13:19" ht="13.8">
      <c r="M164" s="2523" t="s">
        <v>1805</v>
      </c>
      <c r="N164" s="2523" t="s">
        <v>2082</v>
      </c>
      <c r="O164" s="3211" t="s">
        <v>2136</v>
      </c>
      <c r="P164" s="3213"/>
      <c r="Q164" s="2523">
        <v>1</v>
      </c>
      <c r="S164" s="3211" t="s">
        <v>1855</v>
      </c>
    </row>
    <row r="165" spans="13:19" ht="13.8">
      <c r="M165" s="2523" t="s">
        <v>1808</v>
      </c>
      <c r="N165" s="2523" t="s">
        <v>2084</v>
      </c>
      <c r="O165" s="3211" t="s">
        <v>2136</v>
      </c>
      <c r="P165" s="3213"/>
      <c r="Q165" s="2523">
        <v>1</v>
      </c>
      <c r="S165" s="3211" t="s">
        <v>1855</v>
      </c>
    </row>
    <row r="166" spans="13:19" ht="13.8">
      <c r="M166" s="2523" t="s">
        <v>1810</v>
      </c>
      <c r="N166" s="2523" t="s">
        <v>2085</v>
      </c>
      <c r="O166" s="3211" t="s">
        <v>2136</v>
      </c>
      <c r="P166" s="3213"/>
      <c r="S166" s="3211" t="s">
        <v>1855</v>
      </c>
    </row>
    <row r="167" spans="13:19" ht="13.8">
      <c r="M167" s="2523" t="s">
        <v>1814</v>
      </c>
      <c r="N167" s="2523" t="s">
        <v>2086</v>
      </c>
      <c r="O167" s="3211" t="s">
        <v>2136</v>
      </c>
      <c r="P167" s="3213">
        <v>1</v>
      </c>
      <c r="S167" s="3211" t="s">
        <v>1855</v>
      </c>
    </row>
    <row r="168" spans="13:19" ht="13.8">
      <c r="M168" s="2523" t="s">
        <v>1816</v>
      </c>
      <c r="N168" s="2523" t="s">
        <v>2087</v>
      </c>
      <c r="O168" s="3211" t="s">
        <v>2136</v>
      </c>
      <c r="P168" s="3213"/>
      <c r="S168" s="3211" t="s">
        <v>1855</v>
      </c>
    </row>
    <row r="169" spans="13:19" ht="13.8">
      <c r="M169" s="2523" t="s">
        <v>1819</v>
      </c>
      <c r="N169" s="2523" t="s">
        <v>2088</v>
      </c>
      <c r="O169" s="3211" t="s">
        <v>2136</v>
      </c>
      <c r="P169" s="3213"/>
      <c r="Q169" s="2523">
        <v>1</v>
      </c>
      <c r="S169" s="3211" t="s">
        <v>1855</v>
      </c>
    </row>
    <row r="170" spans="13:19" ht="13.8">
      <c r="M170" s="2523" t="s">
        <v>1821</v>
      </c>
      <c r="N170" s="2523" t="s">
        <v>2089</v>
      </c>
      <c r="O170" s="3211" t="s">
        <v>2136</v>
      </c>
      <c r="P170" s="3213"/>
      <c r="S170" s="3211" t="s">
        <v>1855</v>
      </c>
    </row>
    <row r="171" spans="13:19" ht="13.8">
      <c r="M171" s="2523" t="s">
        <v>1822</v>
      </c>
      <c r="N171" s="2523" t="s">
        <v>2090</v>
      </c>
      <c r="O171" s="3211" t="s">
        <v>2136</v>
      </c>
      <c r="P171" s="3213"/>
      <c r="S171" s="3211" t="s">
        <v>1855</v>
      </c>
    </row>
    <row r="172" spans="13:19" ht="13.8">
      <c r="M172" s="2523" t="s">
        <v>1824</v>
      </c>
      <c r="N172" s="2523" t="s">
        <v>2091</v>
      </c>
      <c r="O172" s="3211" t="s">
        <v>2136</v>
      </c>
      <c r="P172" s="3213">
        <v>1</v>
      </c>
      <c r="R172" s="2523">
        <v>1</v>
      </c>
      <c r="S172" s="3211" t="s">
        <v>1855</v>
      </c>
    </row>
    <row r="173" spans="13:19" ht="13.8">
      <c r="M173" s="2523" t="s">
        <v>1826</v>
      </c>
      <c r="N173" s="2523" t="s">
        <v>2092</v>
      </c>
      <c r="O173" s="3211" t="s">
        <v>2136</v>
      </c>
      <c r="P173" s="3213"/>
      <c r="S173" s="3211" t="s">
        <v>1855</v>
      </c>
    </row>
    <row r="174" spans="13:19" ht="13.8">
      <c r="M174" s="2523" t="s">
        <v>1829</v>
      </c>
      <c r="N174" s="2523" t="s">
        <v>2093</v>
      </c>
      <c r="O174" s="3211" t="s">
        <v>2136</v>
      </c>
      <c r="P174" s="3213"/>
      <c r="S174" s="3211" t="s">
        <v>1855</v>
      </c>
    </row>
    <row r="175" spans="13:19" ht="13.8">
      <c r="M175" s="2523" t="s">
        <v>1830</v>
      </c>
      <c r="N175" s="2523" t="s">
        <v>2094</v>
      </c>
      <c r="O175" s="3211" t="s">
        <v>2136</v>
      </c>
      <c r="P175" s="3213"/>
      <c r="S175" s="3211" t="s">
        <v>1855</v>
      </c>
    </row>
    <row r="176" spans="13:19" ht="13.8">
      <c r="M176" s="2523" t="s">
        <v>1834</v>
      </c>
      <c r="N176" s="2523" t="s">
        <v>2095</v>
      </c>
      <c r="O176" s="3211" t="s">
        <v>2136</v>
      </c>
      <c r="P176" s="3213"/>
      <c r="Q176" s="2523">
        <v>1</v>
      </c>
      <c r="S176" s="3211" t="s">
        <v>1855</v>
      </c>
    </row>
    <row r="177" spans="13:19" ht="13.8">
      <c r="M177" s="2523" t="s">
        <v>1835</v>
      </c>
      <c r="N177" s="2523" t="s">
        <v>2096</v>
      </c>
      <c r="O177" s="3211" t="s">
        <v>2136</v>
      </c>
      <c r="P177" s="3213">
        <v>1</v>
      </c>
      <c r="Q177" s="2523">
        <v>1</v>
      </c>
      <c r="S177" s="3211" t="s">
        <v>1855</v>
      </c>
    </row>
    <row r="178" spans="13:19" ht="13.8">
      <c r="M178" s="2523" t="s">
        <v>1838</v>
      </c>
      <c r="N178" s="2523" t="s">
        <v>2098</v>
      </c>
      <c r="O178" s="3211" t="s">
        <v>2136</v>
      </c>
      <c r="P178" s="3213"/>
      <c r="S178" s="3211" t="s">
        <v>1855</v>
      </c>
    </row>
    <row r="179" spans="13:19" ht="13.8">
      <c r="M179" s="2523" t="s">
        <v>1841</v>
      </c>
      <c r="N179" s="2523" t="s">
        <v>2100</v>
      </c>
      <c r="O179" s="3211" t="s">
        <v>2136</v>
      </c>
      <c r="P179" s="3213"/>
      <c r="S179" s="3211" t="s">
        <v>1855</v>
      </c>
    </row>
    <row r="180" spans="13:19" ht="13.8">
      <c r="M180" s="2523" t="s">
        <v>1843</v>
      </c>
      <c r="N180" s="2523" t="s">
        <v>2102</v>
      </c>
      <c r="O180" s="3211" t="s">
        <v>2136</v>
      </c>
      <c r="P180" s="3213"/>
      <c r="S180" s="3211" t="s">
        <v>1855</v>
      </c>
    </row>
    <row r="181" spans="13:19" ht="13.8">
      <c r="M181" s="2523" t="s">
        <v>1844</v>
      </c>
      <c r="N181" s="2523" t="s">
        <v>2103</v>
      </c>
      <c r="O181" s="3211" t="s">
        <v>2136</v>
      </c>
      <c r="P181" s="3213"/>
      <c r="S181" s="3211" t="s">
        <v>1855</v>
      </c>
    </row>
    <row r="182" spans="13:19" ht="13.8">
      <c r="M182" s="2523" t="s">
        <v>1845</v>
      </c>
      <c r="N182" s="2523" t="s">
        <v>2104</v>
      </c>
      <c r="O182" s="3211" t="s">
        <v>2136</v>
      </c>
      <c r="P182" s="3213"/>
      <c r="S182" s="3211" t="s">
        <v>1855</v>
      </c>
    </row>
    <row r="183" spans="13:19" ht="13.8">
      <c r="M183" s="2523" t="s">
        <v>1850</v>
      </c>
      <c r="N183" s="2523" t="s">
        <v>2107</v>
      </c>
      <c r="O183" s="3211" t="s">
        <v>2136</v>
      </c>
      <c r="P183" s="3213"/>
      <c r="S183" s="3211" t="s">
        <v>1855</v>
      </c>
    </row>
    <row r="184" spans="13:19" ht="13.8">
      <c r="M184" s="2523" t="s">
        <v>1851</v>
      </c>
      <c r="N184" s="2523" t="s">
        <v>2108</v>
      </c>
      <c r="O184" s="3211" t="s">
        <v>2136</v>
      </c>
      <c r="P184" s="3213"/>
      <c r="S184" s="3211" t="s">
        <v>1855</v>
      </c>
    </row>
    <row r="185" spans="13:19" ht="13.8">
      <c r="M185" s="2523" t="s">
        <v>1605</v>
      </c>
      <c r="N185" s="2523" t="s">
        <v>1862</v>
      </c>
      <c r="O185" s="3211" t="s">
        <v>1606</v>
      </c>
      <c r="P185" s="3213"/>
      <c r="S185" s="3211" t="s">
        <v>1857</v>
      </c>
    </row>
    <row r="186" spans="13:19" ht="13.8">
      <c r="M186" s="2523" t="s">
        <v>1607</v>
      </c>
      <c r="N186" s="2523" t="s">
        <v>1863</v>
      </c>
      <c r="O186" s="3211" t="s">
        <v>1606</v>
      </c>
      <c r="P186" s="3213"/>
      <c r="S186" s="3211" t="s">
        <v>1857</v>
      </c>
    </row>
    <row r="187" spans="13:19" ht="13.8">
      <c r="M187" s="2523" t="s">
        <v>1608</v>
      </c>
      <c r="N187" s="2523" t="s">
        <v>1858</v>
      </c>
      <c r="O187" s="3211" t="s">
        <v>1606</v>
      </c>
      <c r="P187" s="3213"/>
      <c r="Q187" s="2523">
        <v>1</v>
      </c>
      <c r="S187" s="3211" t="s">
        <v>1857</v>
      </c>
    </row>
    <row r="188" spans="13:19" ht="13.8">
      <c r="M188" s="2523" t="s">
        <v>1609</v>
      </c>
      <c r="N188" s="2523" t="s">
        <v>1864</v>
      </c>
      <c r="O188" s="3211" t="s">
        <v>1606</v>
      </c>
      <c r="P188" s="3213"/>
      <c r="S188" s="3211" t="s">
        <v>1857</v>
      </c>
    </row>
    <row r="189" spans="13:19" ht="13.8">
      <c r="M189" s="2523" t="s">
        <v>1613</v>
      </c>
      <c r="N189" s="2523" t="s">
        <v>1865</v>
      </c>
      <c r="O189" s="3211" t="s">
        <v>1606</v>
      </c>
      <c r="P189" s="3213"/>
      <c r="S189" s="3211" t="s">
        <v>1857</v>
      </c>
    </row>
    <row r="190" spans="13:19" ht="13.8">
      <c r="M190" s="2523" t="s">
        <v>1617</v>
      </c>
      <c r="N190" s="2523" t="s">
        <v>1866</v>
      </c>
      <c r="O190" s="3211" t="s">
        <v>1606</v>
      </c>
      <c r="P190" s="3213"/>
      <c r="S190" s="3211" t="s">
        <v>1857</v>
      </c>
    </row>
    <row r="191" spans="13:19" ht="13.8">
      <c r="M191" s="2523" t="s">
        <v>1621</v>
      </c>
      <c r="N191" s="2523" t="s">
        <v>1867</v>
      </c>
      <c r="O191" s="3211" t="s">
        <v>1606</v>
      </c>
      <c r="P191" s="3213"/>
      <c r="Q191" s="2523">
        <v>1</v>
      </c>
      <c r="S191" s="3211" t="s">
        <v>1857</v>
      </c>
    </row>
    <row r="192" spans="13:19" ht="13.8">
      <c r="M192" s="2523" t="s">
        <v>1622</v>
      </c>
      <c r="N192" s="2523" t="s">
        <v>1868</v>
      </c>
      <c r="O192" s="3211" t="s">
        <v>1606</v>
      </c>
      <c r="P192" s="3213">
        <v>1</v>
      </c>
      <c r="R192" s="2523">
        <v>1</v>
      </c>
      <c r="S192" s="3211" t="s">
        <v>1857</v>
      </c>
    </row>
    <row r="193" spans="13:19" ht="13.8">
      <c r="M193" s="2523" t="s">
        <v>1624</v>
      </c>
      <c r="N193" s="2523" t="s">
        <v>1869</v>
      </c>
      <c r="O193" s="3211" t="s">
        <v>1606</v>
      </c>
      <c r="P193" s="3213">
        <v>1</v>
      </c>
      <c r="R193" s="2523">
        <v>1</v>
      </c>
      <c r="S193" s="3211" t="s">
        <v>1857</v>
      </c>
    </row>
    <row r="194" spans="13:19" ht="13.8">
      <c r="M194" s="2523" t="s">
        <v>1628</v>
      </c>
      <c r="N194" s="2523" t="s">
        <v>1870</v>
      </c>
      <c r="O194" s="3211" t="s">
        <v>1606</v>
      </c>
      <c r="P194" s="3213">
        <v>1</v>
      </c>
      <c r="R194" s="2523">
        <v>1</v>
      </c>
      <c r="S194" s="3211" t="s">
        <v>1857</v>
      </c>
    </row>
    <row r="195" spans="13:19" ht="13.8">
      <c r="M195" s="2523" t="s">
        <v>1637</v>
      </c>
      <c r="N195" s="2523" t="s">
        <v>1871</v>
      </c>
      <c r="O195" s="3211" t="s">
        <v>1606</v>
      </c>
      <c r="P195" s="3213"/>
      <c r="S195" s="3211" t="s">
        <v>1857</v>
      </c>
    </row>
    <row r="196" spans="13:19" ht="13.8">
      <c r="M196" s="2523" t="s">
        <v>1638</v>
      </c>
      <c r="N196" s="2523" t="s">
        <v>1872</v>
      </c>
      <c r="O196" s="3211" t="s">
        <v>1606</v>
      </c>
      <c r="P196" s="3213"/>
      <c r="S196" s="3211" t="s">
        <v>1857</v>
      </c>
    </row>
    <row r="197" spans="13:19" ht="13.8">
      <c r="M197" s="2523" t="s">
        <v>1639</v>
      </c>
      <c r="N197" s="2523" t="s">
        <v>1873</v>
      </c>
      <c r="O197" s="3211" t="s">
        <v>1606</v>
      </c>
      <c r="P197" s="3213"/>
      <c r="S197" s="3211" t="s">
        <v>1857</v>
      </c>
    </row>
    <row r="198" spans="13:19" ht="13.8">
      <c r="M198" s="2523" t="s">
        <v>1640</v>
      </c>
      <c r="N198" s="2523" t="s">
        <v>1874</v>
      </c>
      <c r="O198" s="3211" t="s">
        <v>1606</v>
      </c>
      <c r="P198" s="3213"/>
      <c r="S198" s="3211" t="s">
        <v>1857</v>
      </c>
    </row>
    <row r="199" spans="13:19" ht="13.8">
      <c r="M199" s="2523" t="s">
        <v>1648</v>
      </c>
      <c r="N199" s="2523" t="s">
        <v>1875</v>
      </c>
      <c r="O199" s="3211" t="s">
        <v>1606</v>
      </c>
      <c r="P199" s="3213"/>
      <c r="S199" s="3211" t="s">
        <v>1857</v>
      </c>
    </row>
    <row r="200" spans="13:19" ht="13.8">
      <c r="M200" s="2523" t="s">
        <v>1654</v>
      </c>
      <c r="N200" s="2523" t="s">
        <v>1876</v>
      </c>
      <c r="O200" s="3211" t="s">
        <v>1606</v>
      </c>
      <c r="P200" s="3213"/>
      <c r="Q200" s="2523">
        <v>1</v>
      </c>
      <c r="S200" s="3211" t="s">
        <v>1857</v>
      </c>
    </row>
    <row r="201" spans="13:19" ht="13.8">
      <c r="M201" s="2523" t="s">
        <v>1655</v>
      </c>
      <c r="N201" s="2523" t="s">
        <v>1877</v>
      </c>
      <c r="O201" s="3211" t="s">
        <v>1606</v>
      </c>
      <c r="P201" s="3213">
        <v>1</v>
      </c>
      <c r="S201" s="3211" t="s">
        <v>1857</v>
      </c>
    </row>
    <row r="202" spans="13:19" ht="13.8">
      <c r="M202" s="2523" t="s">
        <v>1667</v>
      </c>
      <c r="N202" s="2523" t="s">
        <v>1878</v>
      </c>
      <c r="O202" s="3211" t="s">
        <v>1606</v>
      </c>
      <c r="P202" s="3213"/>
      <c r="S202" s="3211" t="s">
        <v>1857</v>
      </c>
    </row>
    <row r="203" spans="13:19" ht="13.8">
      <c r="M203" s="2523" t="s">
        <v>1675</v>
      </c>
      <c r="N203" s="2523" t="s">
        <v>1879</v>
      </c>
      <c r="O203" s="3211" t="s">
        <v>1606</v>
      </c>
      <c r="P203" s="3213">
        <v>1</v>
      </c>
      <c r="Q203" s="2523">
        <v>1</v>
      </c>
      <c r="S203" s="3211" t="s">
        <v>1857</v>
      </c>
    </row>
    <row r="204" spans="13:19" ht="13.8">
      <c r="M204" s="2523" t="s">
        <v>1678</v>
      </c>
      <c r="N204" s="2523" t="s">
        <v>1880</v>
      </c>
      <c r="O204" s="3211" t="s">
        <v>1606</v>
      </c>
      <c r="P204" s="3213">
        <v>1</v>
      </c>
      <c r="R204" s="2523">
        <v>1</v>
      </c>
      <c r="S204" s="3211" t="s">
        <v>1857</v>
      </c>
    </row>
    <row r="205" spans="13:19" ht="13.8">
      <c r="M205" s="2523" t="s">
        <v>1686</v>
      </c>
      <c r="N205" s="2523" t="s">
        <v>1881</v>
      </c>
      <c r="O205" s="3211" t="s">
        <v>1606</v>
      </c>
      <c r="P205" s="3213">
        <v>1</v>
      </c>
      <c r="S205" s="3211" t="s">
        <v>1857</v>
      </c>
    </row>
    <row r="206" spans="13:19" ht="13.8">
      <c r="M206" s="2523" t="s">
        <v>1687</v>
      </c>
      <c r="N206" s="2523" t="s">
        <v>1882</v>
      </c>
      <c r="O206" s="3211" t="s">
        <v>1606</v>
      </c>
      <c r="P206" s="3213">
        <v>1</v>
      </c>
      <c r="R206" s="2523">
        <v>1</v>
      </c>
      <c r="S206" s="3211" t="s">
        <v>1857</v>
      </c>
    </row>
    <row r="207" spans="13:19" ht="13.8">
      <c r="M207" s="2523" t="s">
        <v>1693</v>
      </c>
      <c r="N207" s="2523" t="s">
        <v>1883</v>
      </c>
      <c r="O207" s="3211" t="s">
        <v>1606</v>
      </c>
      <c r="P207" s="3213">
        <v>1</v>
      </c>
      <c r="R207" s="2523">
        <v>1</v>
      </c>
      <c r="S207" s="3211" t="s">
        <v>1857</v>
      </c>
    </row>
    <row r="208" spans="13:19" ht="13.8">
      <c r="M208" s="2523" t="s">
        <v>1695</v>
      </c>
      <c r="N208" s="2523" t="s">
        <v>1884</v>
      </c>
      <c r="O208" s="3211" t="s">
        <v>1606</v>
      </c>
      <c r="P208" s="3213"/>
      <c r="S208" s="3211" t="s">
        <v>1857</v>
      </c>
    </row>
    <row r="209" spans="13:19" ht="13.8">
      <c r="M209" s="2523" t="s">
        <v>1698</v>
      </c>
      <c r="N209" s="2523" t="s">
        <v>1885</v>
      </c>
      <c r="O209" s="3211" t="s">
        <v>1606</v>
      </c>
      <c r="P209" s="3213"/>
      <c r="S209" s="3211" t="s">
        <v>1857</v>
      </c>
    </row>
    <row r="210" spans="13:19" ht="13.8">
      <c r="M210" s="2523" t="s">
        <v>1699</v>
      </c>
      <c r="N210" s="2523" t="s">
        <v>1886</v>
      </c>
      <c r="O210" s="3211" t="s">
        <v>1606</v>
      </c>
      <c r="P210" s="3213"/>
      <c r="S210" s="3211" t="s">
        <v>1857</v>
      </c>
    </row>
    <row r="211" spans="13:19" ht="13.8">
      <c r="M211" s="2523" t="s">
        <v>2139</v>
      </c>
      <c r="N211" s="2523" t="s">
        <v>2138</v>
      </c>
      <c r="O211" s="3211" t="s">
        <v>1606</v>
      </c>
      <c r="P211" s="3213"/>
      <c r="S211" s="3211" t="s">
        <v>1857</v>
      </c>
    </row>
    <row r="212" spans="13:19" ht="13.8">
      <c r="M212" s="2523" t="s">
        <v>1700</v>
      </c>
      <c r="N212" s="2523" t="s">
        <v>1887</v>
      </c>
      <c r="O212" s="3211" t="s">
        <v>1606</v>
      </c>
      <c r="P212" s="3213"/>
      <c r="S212" s="3211" t="s">
        <v>1857</v>
      </c>
    </row>
    <row r="213" spans="13:19" ht="13.8">
      <c r="M213" s="2523" t="s">
        <v>1701</v>
      </c>
      <c r="N213" s="2523" t="s">
        <v>1888</v>
      </c>
      <c r="O213" s="3211" t="s">
        <v>1606</v>
      </c>
      <c r="P213" s="3213">
        <v>1</v>
      </c>
      <c r="S213" s="3211" t="s">
        <v>1857</v>
      </c>
    </row>
    <row r="214" spans="13:19" ht="13.8">
      <c r="M214" s="2523" t="s">
        <v>1702</v>
      </c>
      <c r="N214" s="2523" t="s">
        <v>1889</v>
      </c>
      <c r="O214" s="3211" t="s">
        <v>1606</v>
      </c>
      <c r="P214" s="3213">
        <v>1</v>
      </c>
      <c r="S214" s="3211" t="s">
        <v>1857</v>
      </c>
    </row>
    <row r="215" spans="13:19" ht="13.8">
      <c r="M215" s="2523" t="s">
        <v>1707</v>
      </c>
      <c r="N215" s="2523" t="s">
        <v>1890</v>
      </c>
      <c r="O215" s="3211" t="s">
        <v>1606</v>
      </c>
      <c r="P215" s="3213"/>
      <c r="R215" s="2523">
        <v>1</v>
      </c>
      <c r="S215" s="3211" t="s">
        <v>1857</v>
      </c>
    </row>
    <row r="216" spans="13:19" ht="13.8">
      <c r="M216" s="2523" t="s">
        <v>990</v>
      </c>
      <c r="N216" s="2523" t="s">
        <v>1891</v>
      </c>
      <c r="O216" s="3211" t="s">
        <v>1606</v>
      </c>
      <c r="P216" s="3213"/>
      <c r="S216" s="3211" t="s">
        <v>1857</v>
      </c>
    </row>
    <row r="217" spans="13:19" ht="13.8">
      <c r="M217" s="2523" t="s">
        <v>1718</v>
      </c>
      <c r="N217" s="2523" t="s">
        <v>2137</v>
      </c>
      <c r="O217" s="3211" t="s">
        <v>1606</v>
      </c>
      <c r="P217" s="3213"/>
      <c r="S217" s="3211" t="s">
        <v>1857</v>
      </c>
    </row>
    <row r="218" spans="13:19" ht="13.8">
      <c r="M218" s="2523" t="s">
        <v>1722</v>
      </c>
      <c r="N218" s="2523" t="s">
        <v>1892</v>
      </c>
      <c r="O218" s="3211" t="s">
        <v>1606</v>
      </c>
      <c r="P218" s="3213">
        <v>1</v>
      </c>
      <c r="R218" s="2523">
        <v>1</v>
      </c>
      <c r="S218" s="3211" t="s">
        <v>1857</v>
      </c>
    </row>
    <row r="219" spans="13:19" ht="13.8">
      <c r="M219" s="2523" t="s">
        <v>1723</v>
      </c>
      <c r="N219" s="2523" t="s">
        <v>1893</v>
      </c>
      <c r="O219" s="3211" t="s">
        <v>1606</v>
      </c>
      <c r="P219" s="3213"/>
      <c r="S219" s="3211" t="s">
        <v>1857</v>
      </c>
    </row>
    <row r="220" spans="13:19" ht="13.8">
      <c r="M220" s="2523" t="s">
        <v>1728</v>
      </c>
      <c r="N220" s="2523" t="s">
        <v>1894</v>
      </c>
      <c r="O220" s="3211" t="s">
        <v>1606</v>
      </c>
      <c r="P220" s="3213"/>
      <c r="Q220" s="2523">
        <v>1</v>
      </c>
      <c r="S220" s="3211" t="s">
        <v>1857</v>
      </c>
    </row>
    <row r="221" spans="13:19" ht="13.8">
      <c r="M221" s="2523" t="s">
        <v>1731</v>
      </c>
      <c r="N221" s="2523" t="s">
        <v>1895</v>
      </c>
      <c r="O221" s="3211" t="s">
        <v>1606</v>
      </c>
      <c r="P221" s="3213"/>
      <c r="S221" s="3211" t="s">
        <v>1857</v>
      </c>
    </row>
    <row r="222" spans="13:19" ht="13.8">
      <c r="M222" s="2523" t="s">
        <v>1740</v>
      </c>
      <c r="N222" s="2523" t="s">
        <v>1896</v>
      </c>
      <c r="O222" s="3211" t="s">
        <v>1606</v>
      </c>
      <c r="P222" s="3213"/>
      <c r="S222" s="3211" t="s">
        <v>1857</v>
      </c>
    </row>
    <row r="223" spans="13:19" ht="13.8">
      <c r="M223" s="2523" t="s">
        <v>1744</v>
      </c>
      <c r="N223" s="2523" t="s">
        <v>1897</v>
      </c>
      <c r="O223" s="3211" t="s">
        <v>1606</v>
      </c>
      <c r="P223" s="3213">
        <v>1</v>
      </c>
      <c r="Q223" s="2523">
        <v>1</v>
      </c>
      <c r="S223" s="3211" t="s">
        <v>1857</v>
      </c>
    </row>
    <row r="224" spans="13:19" ht="13.8">
      <c r="M224" s="2523" t="s">
        <v>1745</v>
      </c>
      <c r="N224" s="2523" t="s">
        <v>1898</v>
      </c>
      <c r="O224" s="3211" t="s">
        <v>1606</v>
      </c>
      <c r="P224" s="3213"/>
      <c r="S224" s="3211" t="s">
        <v>1857</v>
      </c>
    </row>
    <row r="225" spans="13:19" ht="13.8">
      <c r="M225" s="2523" t="s">
        <v>1756</v>
      </c>
      <c r="N225" s="2523" t="s">
        <v>1899</v>
      </c>
      <c r="O225" s="3211" t="s">
        <v>1606</v>
      </c>
      <c r="P225" s="3213"/>
      <c r="S225" s="3211" t="s">
        <v>1857</v>
      </c>
    </row>
    <row r="226" spans="13:19" ht="13.8">
      <c r="M226" s="2523" t="s">
        <v>1760</v>
      </c>
      <c r="N226" s="2523" t="s">
        <v>1900</v>
      </c>
      <c r="O226" s="3211" t="s">
        <v>1606</v>
      </c>
      <c r="P226" s="3213"/>
      <c r="S226" s="3211" t="s">
        <v>1857</v>
      </c>
    </row>
    <row r="227" spans="13:19" ht="13.8">
      <c r="M227" s="2523" t="s">
        <v>1766</v>
      </c>
      <c r="N227" s="2523" t="s">
        <v>1901</v>
      </c>
      <c r="O227" s="3211" t="s">
        <v>1606</v>
      </c>
      <c r="P227" s="3213"/>
      <c r="S227" s="3211" t="s">
        <v>1857</v>
      </c>
    </row>
    <row r="228" spans="13:19" ht="13.8">
      <c r="M228" s="2523" t="s">
        <v>1769</v>
      </c>
      <c r="N228" s="2523" t="s">
        <v>1902</v>
      </c>
      <c r="O228" s="3211" t="s">
        <v>1606</v>
      </c>
      <c r="P228" s="3213">
        <v>1</v>
      </c>
      <c r="R228" s="2523">
        <v>1</v>
      </c>
      <c r="S228" s="3211" t="s">
        <v>1857</v>
      </c>
    </row>
    <row r="229" spans="13:19" ht="13.8">
      <c r="M229" s="2523" t="s">
        <v>1770</v>
      </c>
      <c r="N229" s="2523" t="s">
        <v>1903</v>
      </c>
      <c r="O229" s="3211" t="s">
        <v>1606</v>
      </c>
      <c r="P229" s="3213"/>
      <c r="S229" s="3211" t="s">
        <v>1857</v>
      </c>
    </row>
    <row r="230" spans="13:19" ht="13.8">
      <c r="M230" s="2523" t="s">
        <v>1771</v>
      </c>
      <c r="N230" s="2523" t="s">
        <v>1904</v>
      </c>
      <c r="O230" s="3211" t="s">
        <v>1606</v>
      </c>
      <c r="P230" s="3213"/>
      <c r="S230" s="3211" t="s">
        <v>1857</v>
      </c>
    </row>
    <row r="231" spans="13:19" ht="13.8">
      <c r="M231" s="2523" t="s">
        <v>1772</v>
      </c>
      <c r="N231" s="2523" t="s">
        <v>1905</v>
      </c>
      <c r="O231" s="3211" t="s">
        <v>1606</v>
      </c>
      <c r="P231" s="3213">
        <v>1</v>
      </c>
      <c r="R231" s="2523">
        <v>1</v>
      </c>
      <c r="S231" s="3211" t="s">
        <v>1857</v>
      </c>
    </row>
    <row r="232" spans="13:19" ht="13.8">
      <c r="M232" s="2523" t="s">
        <v>1773</v>
      </c>
      <c r="N232" s="2523" t="s">
        <v>1906</v>
      </c>
      <c r="O232" s="3211" t="s">
        <v>1606</v>
      </c>
      <c r="P232" s="3213"/>
      <c r="S232" s="3211" t="s">
        <v>1857</v>
      </c>
    </row>
    <row r="233" spans="13:19" ht="13.8">
      <c r="M233" s="2523" t="s">
        <v>1774</v>
      </c>
      <c r="N233" s="2523" t="s">
        <v>1907</v>
      </c>
      <c r="O233" s="3212" t="s">
        <v>1606</v>
      </c>
      <c r="P233" s="3213">
        <v>1</v>
      </c>
      <c r="Q233" s="2523">
        <v>1</v>
      </c>
      <c r="S233" s="3212" t="s">
        <v>1857</v>
      </c>
    </row>
    <row r="234" spans="13:19" ht="13.8">
      <c r="M234" s="2523" t="s">
        <v>1777</v>
      </c>
      <c r="N234" s="2523" t="s">
        <v>1908</v>
      </c>
      <c r="O234" s="3211" t="s">
        <v>1606</v>
      </c>
      <c r="P234" s="3213"/>
      <c r="S234" s="3211" t="s">
        <v>1857</v>
      </c>
    </row>
    <row r="235" spans="13:19" ht="13.8">
      <c r="M235" s="2523" t="s">
        <v>1785</v>
      </c>
      <c r="N235" s="2523" t="s">
        <v>1909</v>
      </c>
      <c r="O235" s="3211" t="s">
        <v>1606</v>
      </c>
      <c r="P235" s="3213"/>
      <c r="S235" s="3211" t="s">
        <v>1857</v>
      </c>
    </row>
    <row r="236" spans="13:19" ht="13.8">
      <c r="M236" s="2523" t="s">
        <v>1792</v>
      </c>
      <c r="N236" s="2523" t="s">
        <v>1910</v>
      </c>
      <c r="O236" s="3211" t="s">
        <v>1606</v>
      </c>
      <c r="P236" s="3213"/>
      <c r="Q236" s="2523">
        <v>1</v>
      </c>
      <c r="S236" s="3211" t="s">
        <v>1857</v>
      </c>
    </row>
    <row r="237" spans="13:19" ht="13.8">
      <c r="M237" s="2523" t="s">
        <v>1794</v>
      </c>
      <c r="N237" s="2523" t="s">
        <v>1911</v>
      </c>
      <c r="O237" s="3211" t="s">
        <v>1606</v>
      </c>
      <c r="P237" s="3213"/>
      <c r="S237" s="3211" t="s">
        <v>1857</v>
      </c>
    </row>
    <row r="238" spans="13:19" ht="13.8">
      <c r="M238" s="2523" t="s">
        <v>1802</v>
      </c>
      <c r="N238" s="2523" t="s">
        <v>1912</v>
      </c>
      <c r="O238" s="3211" t="s">
        <v>1606</v>
      </c>
      <c r="P238" s="3213">
        <v>1</v>
      </c>
      <c r="R238" s="2523">
        <v>1</v>
      </c>
      <c r="S238" s="3211" t="s">
        <v>1857</v>
      </c>
    </row>
    <row r="239" spans="13:19" ht="13.8">
      <c r="M239" s="2523" t="s">
        <v>1803</v>
      </c>
      <c r="N239" s="2523" t="s">
        <v>1913</v>
      </c>
      <c r="O239" s="3211" t="s">
        <v>1606</v>
      </c>
      <c r="P239" s="3213"/>
      <c r="S239" s="3211" t="s">
        <v>1857</v>
      </c>
    </row>
    <row r="240" spans="13:19" ht="13.8">
      <c r="M240" s="2523" t="s">
        <v>1806</v>
      </c>
      <c r="N240" s="2523" t="s">
        <v>1914</v>
      </c>
      <c r="O240" s="3211" t="s">
        <v>1606</v>
      </c>
      <c r="P240" s="3213"/>
      <c r="S240" s="3211" t="s">
        <v>1857</v>
      </c>
    </row>
    <row r="241" spans="13:19" ht="13.8">
      <c r="M241" s="2523" t="s">
        <v>1809</v>
      </c>
      <c r="N241" s="2523" t="s">
        <v>1915</v>
      </c>
      <c r="O241" s="3211" t="s">
        <v>1606</v>
      </c>
      <c r="P241" s="3213">
        <v>1</v>
      </c>
      <c r="S241" s="3211" t="s">
        <v>1857</v>
      </c>
    </row>
    <row r="242" spans="13:19" ht="13.8">
      <c r="M242" s="2523" t="s">
        <v>1811</v>
      </c>
      <c r="N242" s="2523" t="s">
        <v>1916</v>
      </c>
      <c r="O242" s="3211" t="s">
        <v>1606</v>
      </c>
      <c r="P242" s="3213"/>
      <c r="Q242" s="2523">
        <v>1</v>
      </c>
      <c r="S242" s="3211" t="s">
        <v>1857</v>
      </c>
    </row>
    <row r="243" spans="13:19" ht="13.8">
      <c r="M243" s="2523" t="s">
        <v>1812</v>
      </c>
      <c r="N243" s="2523" t="s">
        <v>1917</v>
      </c>
      <c r="O243" s="3211" t="s">
        <v>1606</v>
      </c>
      <c r="P243" s="3213">
        <v>1</v>
      </c>
      <c r="Q243" s="2523">
        <v>1</v>
      </c>
      <c r="S243" s="3211" t="s">
        <v>1857</v>
      </c>
    </row>
    <row r="244" spans="13:19" ht="13.8">
      <c r="M244" s="2523" t="s">
        <v>1813</v>
      </c>
      <c r="N244" s="2523" t="s">
        <v>1918</v>
      </c>
      <c r="O244" s="3211" t="s">
        <v>1606</v>
      </c>
      <c r="P244" s="3213"/>
      <c r="S244" s="3211" t="s">
        <v>1857</v>
      </c>
    </row>
    <row r="245" spans="13:19" ht="13.8">
      <c r="M245" s="2523" t="s">
        <v>1815</v>
      </c>
      <c r="N245" s="2523" t="s">
        <v>1919</v>
      </c>
      <c r="O245" s="3211" t="s">
        <v>1606</v>
      </c>
      <c r="P245" s="3213"/>
      <c r="S245" s="3211" t="s">
        <v>1857</v>
      </c>
    </row>
    <row r="246" spans="13:19" ht="13.8">
      <c r="M246" s="2523" t="s">
        <v>1817</v>
      </c>
      <c r="N246" s="2523" t="s">
        <v>1920</v>
      </c>
      <c r="O246" s="3211" t="s">
        <v>1606</v>
      </c>
      <c r="P246" s="3213"/>
      <c r="S246" s="3211" t="s">
        <v>1857</v>
      </c>
    </row>
    <row r="247" spans="13:19" ht="13.8">
      <c r="M247" s="2523" t="s">
        <v>1818</v>
      </c>
      <c r="N247" s="2523" t="s">
        <v>1921</v>
      </c>
      <c r="O247" s="3211" t="s">
        <v>1606</v>
      </c>
      <c r="P247" s="3213"/>
      <c r="S247" s="3211" t="s">
        <v>1857</v>
      </c>
    </row>
    <row r="248" spans="13:19" ht="13.8">
      <c r="M248" s="2523" t="s">
        <v>1820</v>
      </c>
      <c r="N248" s="2523" t="s">
        <v>1922</v>
      </c>
      <c r="O248" s="3211" t="s">
        <v>1606</v>
      </c>
      <c r="P248" s="3213"/>
      <c r="S248" s="3211" t="s">
        <v>1857</v>
      </c>
    </row>
    <row r="249" spans="13:19" ht="13.8">
      <c r="M249" s="2523" t="s">
        <v>1823</v>
      </c>
      <c r="N249" s="2523" t="s">
        <v>1861</v>
      </c>
      <c r="O249" s="3211" t="s">
        <v>1606</v>
      </c>
      <c r="P249" s="3213">
        <v>1</v>
      </c>
      <c r="R249" s="2523">
        <v>1</v>
      </c>
      <c r="S249" s="3211" t="s">
        <v>1857</v>
      </c>
    </row>
    <row r="250" spans="13:19" ht="13.8">
      <c r="M250" s="2523" t="s">
        <v>1825</v>
      </c>
      <c r="N250" s="2523" t="s">
        <v>1923</v>
      </c>
      <c r="O250" s="3211" t="s">
        <v>1606</v>
      </c>
      <c r="P250" s="3213">
        <v>1</v>
      </c>
      <c r="R250" s="2523">
        <v>1</v>
      </c>
      <c r="S250" s="3211" t="s">
        <v>1857</v>
      </c>
    </row>
    <row r="251" spans="13:19" ht="13.8">
      <c r="M251" s="2523" t="s">
        <v>1827</v>
      </c>
      <c r="N251" s="2523" t="s">
        <v>1924</v>
      </c>
      <c r="O251" s="3211" t="s">
        <v>1606</v>
      </c>
      <c r="P251" s="3213"/>
      <c r="S251" s="3211" t="s">
        <v>1857</v>
      </c>
    </row>
    <row r="252" spans="13:19" ht="13.8">
      <c r="M252" s="2523" t="s">
        <v>1828</v>
      </c>
      <c r="N252" s="2523" t="s">
        <v>1925</v>
      </c>
      <c r="O252" s="3211" t="s">
        <v>1606</v>
      </c>
      <c r="P252" s="3213">
        <v>1</v>
      </c>
      <c r="S252" s="3211" t="s">
        <v>1857</v>
      </c>
    </row>
    <row r="253" spans="13:19" ht="13.8">
      <c r="M253" s="2523" t="s">
        <v>1831</v>
      </c>
      <c r="N253" s="2523" t="s">
        <v>1926</v>
      </c>
      <c r="O253" s="3211" t="s">
        <v>1606</v>
      </c>
      <c r="P253" s="3213"/>
      <c r="S253" s="3211" t="s">
        <v>1857</v>
      </c>
    </row>
    <row r="254" spans="13:19" ht="13.8">
      <c r="M254" s="2523" t="s">
        <v>1832</v>
      </c>
      <c r="N254" s="2523" t="s">
        <v>1927</v>
      </c>
      <c r="O254" s="3211" t="s">
        <v>1606</v>
      </c>
      <c r="P254" s="3213">
        <v>1</v>
      </c>
      <c r="R254" s="2523">
        <v>1</v>
      </c>
      <c r="S254" s="3211" t="s">
        <v>1857</v>
      </c>
    </row>
    <row r="255" spans="13:19" ht="13.8">
      <c r="M255" s="2523" t="s">
        <v>1833</v>
      </c>
      <c r="N255" s="2523" t="s">
        <v>1928</v>
      </c>
      <c r="O255" s="3211" t="s">
        <v>1606</v>
      </c>
      <c r="P255" s="3213">
        <v>1</v>
      </c>
      <c r="S255" s="3211" t="s">
        <v>1857</v>
      </c>
    </row>
    <row r="256" spans="13:19" ht="13.8">
      <c r="M256" s="2523" t="s">
        <v>1837</v>
      </c>
      <c r="N256" s="2523" t="s">
        <v>1929</v>
      </c>
      <c r="O256" s="3211" t="s">
        <v>1606</v>
      </c>
      <c r="P256" s="3213">
        <v>1</v>
      </c>
      <c r="R256" s="2523">
        <v>1</v>
      </c>
      <c r="S256" s="3211" t="s">
        <v>1857</v>
      </c>
    </row>
    <row r="257" spans="13:19" ht="13.8">
      <c r="M257" s="2523" t="s">
        <v>1840</v>
      </c>
      <c r="N257" s="2523" t="s">
        <v>1930</v>
      </c>
      <c r="O257" s="3211" t="s">
        <v>1606</v>
      </c>
      <c r="P257" s="3213"/>
      <c r="S257" s="3211" t="s">
        <v>1857</v>
      </c>
    </row>
    <row r="258" spans="13:19" ht="13.8">
      <c r="M258" s="2523" t="s">
        <v>1848</v>
      </c>
      <c r="N258" s="2523" t="s">
        <v>1931</v>
      </c>
      <c r="O258" s="3211" t="s">
        <v>1606</v>
      </c>
      <c r="P258" s="3213"/>
      <c r="S258" s="3211" t="s">
        <v>1857</v>
      </c>
    </row>
    <row r="259" spans="13:19" ht="13.8">
      <c r="M259" s="2523" t="s">
        <v>1849</v>
      </c>
      <c r="N259" s="2523" t="s">
        <v>1932</v>
      </c>
      <c r="O259" s="3211" t="s">
        <v>1606</v>
      </c>
      <c r="P259" s="3213">
        <v>1</v>
      </c>
      <c r="R259" s="2523">
        <v>1</v>
      </c>
      <c r="S259" s="3211" t="s">
        <v>1857</v>
      </c>
    </row>
    <row r="260" spans="13:19">
      <c r="P260" s="3213"/>
    </row>
    <row r="261" spans="13:19">
      <c r="P261" s="3213"/>
    </row>
    <row r="262" spans="13:19">
      <c r="P262" s="3213"/>
    </row>
    <row r="263" spans="13:19">
      <c r="P263" s="3213"/>
    </row>
    <row r="264" spans="13:19">
      <c r="P264" s="3213"/>
    </row>
    <row r="265" spans="13:19">
      <c r="P265" s="3213"/>
    </row>
    <row r="266" spans="13:19">
      <c r="P266" s="3213"/>
    </row>
    <row r="267" spans="13:19">
      <c r="P267" s="3213"/>
    </row>
    <row r="268" spans="13:19">
      <c r="P268" s="3213"/>
    </row>
    <row r="269" spans="13:19">
      <c r="P269" s="3213"/>
    </row>
    <row r="270" spans="13:19">
      <c r="P270" s="3213"/>
    </row>
    <row r="271" spans="13:19">
      <c r="P271" s="3213"/>
    </row>
    <row r="272" spans="13:19">
      <c r="P272" s="3213"/>
    </row>
    <row r="273" spans="16:16">
      <c r="P273" s="3213"/>
    </row>
    <row r="274" spans="16:16">
      <c r="P274" s="3213"/>
    </row>
    <row r="275" spans="16:16">
      <c r="P275" s="3213"/>
    </row>
    <row r="276" spans="16:16">
      <c r="P276" s="3213"/>
    </row>
    <row r="277" spans="16:16">
      <c r="P277" s="3213"/>
    </row>
    <row r="278" spans="16:16">
      <c r="P278" s="3213"/>
    </row>
    <row r="279" spans="16:16">
      <c r="P279" s="3213"/>
    </row>
    <row r="280" spans="16:16">
      <c r="P280" s="3213"/>
    </row>
    <row r="281" spans="16:16">
      <c r="P281" s="3213"/>
    </row>
    <row r="282" spans="16:16">
      <c r="P282" s="3213"/>
    </row>
    <row r="283" spans="16:16">
      <c r="P283" s="3213"/>
    </row>
    <row r="284" spans="16:16">
      <c r="P284" s="3213"/>
    </row>
    <row r="285" spans="16:16">
      <c r="P285" s="3213"/>
    </row>
    <row r="286" spans="16:16">
      <c r="P286" s="3213"/>
    </row>
    <row r="287" spans="16:16">
      <c r="P287" s="3213"/>
    </row>
    <row r="288" spans="16:16">
      <c r="P288" s="3213"/>
    </row>
    <row r="289" spans="16:16">
      <c r="P289" s="3213"/>
    </row>
    <row r="290" spans="16:16">
      <c r="P290" s="3213"/>
    </row>
    <row r="291" spans="16:16">
      <c r="P291" s="3213"/>
    </row>
    <row r="292" spans="16:16">
      <c r="P292" s="3213"/>
    </row>
    <row r="293" spans="16:16">
      <c r="P293" s="3213"/>
    </row>
    <row r="294" spans="16:16">
      <c r="P294" s="3213"/>
    </row>
    <row r="295" spans="16:16">
      <c r="P295" s="3213"/>
    </row>
    <row r="296" spans="16:16">
      <c r="P296" s="3213"/>
    </row>
    <row r="297" spans="16:16">
      <c r="P297" s="3213"/>
    </row>
    <row r="298" spans="16:16">
      <c r="P298" s="3213"/>
    </row>
    <row r="299" spans="16:16">
      <c r="P299" s="3213"/>
    </row>
    <row r="300" spans="16:16">
      <c r="P300" s="3213"/>
    </row>
    <row r="301" spans="16:16">
      <c r="P301" s="3213"/>
    </row>
    <row r="302" spans="16:16">
      <c r="P302" s="3213"/>
    </row>
    <row r="303" spans="16:16">
      <c r="P303" s="3213"/>
    </row>
    <row r="304" spans="16:16">
      <c r="P304" s="3213"/>
    </row>
    <row r="305" spans="16:16">
      <c r="P305" s="3213"/>
    </row>
    <row r="306" spans="16:16">
      <c r="P306" s="3213"/>
    </row>
    <row r="307" spans="16:16">
      <c r="P307" s="3213"/>
    </row>
    <row r="308" spans="16:16">
      <c r="P308" s="3213"/>
    </row>
    <row r="309" spans="16:16">
      <c r="P309" s="3213"/>
    </row>
    <row r="310" spans="16:16">
      <c r="P310" s="3213"/>
    </row>
    <row r="311" spans="16:16">
      <c r="P311" s="3213"/>
    </row>
    <row r="312" spans="16:16">
      <c r="P312" s="3213"/>
    </row>
    <row r="313" spans="16:16">
      <c r="P313" s="3213"/>
    </row>
    <row r="314" spans="16:16">
      <c r="P314" s="3213"/>
    </row>
    <row r="315" spans="16:16">
      <c r="P315" s="3213"/>
    </row>
    <row r="316" spans="16:16">
      <c r="P316" s="3213"/>
    </row>
    <row r="317" spans="16:16">
      <c r="P317" s="3213"/>
    </row>
    <row r="318" spans="16:16">
      <c r="P318" s="3213"/>
    </row>
    <row r="319" spans="16:16">
      <c r="P319" s="3213"/>
    </row>
    <row r="320" spans="16:16">
      <c r="P320" s="3213"/>
    </row>
    <row r="321" spans="16:16">
      <c r="P321" s="3213"/>
    </row>
    <row r="322" spans="16:16">
      <c r="P322" s="3213"/>
    </row>
    <row r="323" spans="16:16">
      <c r="P323" s="3213"/>
    </row>
    <row r="324" spans="16:16">
      <c r="P324" s="3213"/>
    </row>
    <row r="325" spans="16:16">
      <c r="P325" s="3213"/>
    </row>
    <row r="326" spans="16:16">
      <c r="P326" s="3213"/>
    </row>
    <row r="327" spans="16:16">
      <c r="P327" s="3213"/>
    </row>
    <row r="328" spans="16:16">
      <c r="P328" s="3213"/>
    </row>
    <row r="329" spans="16:16">
      <c r="P329" s="3213"/>
    </row>
    <row r="330" spans="16:16">
      <c r="P330" s="3213"/>
    </row>
    <row r="331" spans="16:16">
      <c r="P331" s="3213"/>
    </row>
    <row r="332" spans="16:16">
      <c r="P332" s="3213"/>
    </row>
    <row r="333" spans="16:16">
      <c r="P333" s="3213"/>
    </row>
    <row r="334" spans="16:16">
      <c r="P334" s="3213"/>
    </row>
    <row r="335" spans="16:16">
      <c r="P335" s="3213"/>
    </row>
    <row r="336" spans="16:16">
      <c r="P336" s="3213"/>
    </row>
    <row r="337" spans="16:16">
      <c r="P337" s="3213"/>
    </row>
    <row r="338" spans="16:16">
      <c r="P338" s="3213"/>
    </row>
    <row r="339" spans="16:16">
      <c r="P339" s="3213"/>
    </row>
    <row r="340" spans="16:16">
      <c r="P340" s="3213"/>
    </row>
    <row r="341" spans="16:16">
      <c r="P341" s="3213"/>
    </row>
    <row r="342" spans="16:16">
      <c r="P342" s="3213"/>
    </row>
    <row r="343" spans="16:16">
      <c r="P343" s="3213"/>
    </row>
    <row r="344" spans="16:16">
      <c r="P344" s="3213"/>
    </row>
    <row r="345" spans="16:16">
      <c r="P345" s="3213"/>
    </row>
    <row r="346" spans="16:16">
      <c r="P346" s="3213"/>
    </row>
    <row r="347" spans="16:16">
      <c r="P347" s="3213"/>
    </row>
    <row r="348" spans="16:16">
      <c r="P348" s="3213"/>
    </row>
    <row r="349" spans="16:16">
      <c r="P349" s="3213"/>
    </row>
    <row r="350" spans="16:16">
      <c r="P350" s="3213"/>
    </row>
    <row r="351" spans="16:16">
      <c r="P351" s="3213"/>
    </row>
    <row r="352" spans="16:16">
      <c r="P352" s="3213"/>
    </row>
    <row r="353" spans="16:16">
      <c r="P353" s="3213"/>
    </row>
    <row r="354" spans="16:16">
      <c r="P354" s="3213"/>
    </row>
    <row r="355" spans="16:16">
      <c r="P355" s="3213"/>
    </row>
    <row r="356" spans="16:16">
      <c r="P356" s="3213"/>
    </row>
    <row r="357" spans="16:16">
      <c r="P357" s="3213"/>
    </row>
    <row r="358" spans="16:16">
      <c r="P358" s="3213"/>
    </row>
    <row r="359" spans="16:16">
      <c r="P359" s="3213"/>
    </row>
    <row r="360" spans="16:16">
      <c r="P360" s="3213"/>
    </row>
    <row r="361" spans="16:16">
      <c r="P361" s="3213"/>
    </row>
    <row r="362" spans="16:16">
      <c r="P362" s="3213"/>
    </row>
    <row r="363" spans="16:16">
      <c r="P363" s="3213"/>
    </row>
    <row r="364" spans="16:16">
      <c r="P364" s="3213"/>
    </row>
    <row r="365" spans="16:16">
      <c r="P365" s="3213"/>
    </row>
    <row r="366" spans="16:16">
      <c r="P366" s="3213"/>
    </row>
    <row r="367" spans="16:16">
      <c r="P367" s="3213"/>
    </row>
    <row r="368" spans="16:16">
      <c r="P368" s="3213"/>
    </row>
    <row r="369" spans="16:16">
      <c r="P369" s="3213"/>
    </row>
    <row r="370" spans="16:16">
      <c r="P370" s="3213"/>
    </row>
    <row r="371" spans="16:16">
      <c r="P371" s="3213"/>
    </row>
    <row r="372" spans="16:16">
      <c r="P372" s="3213"/>
    </row>
    <row r="373" spans="16:16">
      <c r="P373" s="3213"/>
    </row>
    <row r="374" spans="16:16">
      <c r="P374" s="3213"/>
    </row>
    <row r="375" spans="16:16">
      <c r="P375" s="3213"/>
    </row>
    <row r="376" spans="16:16">
      <c r="P376" s="3213"/>
    </row>
    <row r="377" spans="16:16">
      <c r="P377" s="3213"/>
    </row>
    <row r="378" spans="16:16">
      <c r="P378" s="3213"/>
    </row>
    <row r="379" spans="16:16">
      <c r="P379" s="3213"/>
    </row>
    <row r="380" spans="16:16">
      <c r="P380" s="3213"/>
    </row>
    <row r="381" spans="16:16">
      <c r="P381" s="3213"/>
    </row>
    <row r="382" spans="16:16">
      <c r="P382" s="3213"/>
    </row>
    <row r="383" spans="16:16">
      <c r="P383" s="3213"/>
    </row>
    <row r="384" spans="16:16">
      <c r="P384" s="3213"/>
    </row>
    <row r="385" spans="16:16">
      <c r="P385" s="3213"/>
    </row>
    <row r="386" spans="16:16">
      <c r="P386" s="3213"/>
    </row>
    <row r="387" spans="16:16">
      <c r="P387" s="3213"/>
    </row>
    <row r="388" spans="16:16">
      <c r="P388" s="3213"/>
    </row>
    <row r="389" spans="16:16">
      <c r="P389" s="3213"/>
    </row>
    <row r="390" spans="16:16">
      <c r="P390" s="3213"/>
    </row>
    <row r="391" spans="16:16">
      <c r="P391" s="3213"/>
    </row>
    <row r="392" spans="16:16">
      <c r="P392" s="3213"/>
    </row>
    <row r="393" spans="16:16">
      <c r="P393" s="3213"/>
    </row>
    <row r="394" spans="16:16">
      <c r="P394" s="3213"/>
    </row>
    <row r="395" spans="16:16">
      <c r="P395" s="3213"/>
    </row>
    <row r="396" spans="16:16">
      <c r="P396" s="3213"/>
    </row>
    <row r="397" spans="16:16">
      <c r="P397" s="3213"/>
    </row>
    <row r="398" spans="16:16">
      <c r="P398" s="3213"/>
    </row>
    <row r="399" spans="16:16">
      <c r="P399" s="3213"/>
    </row>
    <row r="400" spans="16:16">
      <c r="P400" s="3213"/>
    </row>
    <row r="401" spans="16:16">
      <c r="P401" s="3213"/>
    </row>
    <row r="402" spans="16:16">
      <c r="P402" s="3213"/>
    </row>
    <row r="403" spans="16:16">
      <c r="P403" s="3213"/>
    </row>
    <row r="404" spans="16:16">
      <c r="P404" s="3213"/>
    </row>
    <row r="405" spans="16:16">
      <c r="P405" s="3213"/>
    </row>
    <row r="406" spans="16:16">
      <c r="P406" s="3213"/>
    </row>
    <row r="407" spans="16:16">
      <c r="P407" s="3213"/>
    </row>
    <row r="408" spans="16:16">
      <c r="P408" s="3213"/>
    </row>
    <row r="409" spans="16:16">
      <c r="P409" s="3213"/>
    </row>
    <row r="410" spans="16:16">
      <c r="P410" s="3213"/>
    </row>
    <row r="411" spans="16:16">
      <c r="P411" s="3213"/>
    </row>
    <row r="412" spans="16:16">
      <c r="P412" s="3213"/>
    </row>
    <row r="413" spans="16:16">
      <c r="P413" s="3213"/>
    </row>
    <row r="414" spans="16:16">
      <c r="P414" s="3213"/>
    </row>
    <row r="415" spans="16:16">
      <c r="P415" s="3213"/>
    </row>
    <row r="416" spans="16:16">
      <c r="P416" s="3213"/>
    </row>
    <row r="417" spans="16:16">
      <c r="P417" s="3213"/>
    </row>
    <row r="418" spans="16:16">
      <c r="P418" s="3213"/>
    </row>
    <row r="419" spans="16:16">
      <c r="P419" s="3213"/>
    </row>
    <row r="420" spans="16:16">
      <c r="P420" s="3213"/>
    </row>
    <row r="421" spans="16:16">
      <c r="P421" s="3213"/>
    </row>
    <row r="422" spans="16:16">
      <c r="P422" s="3213"/>
    </row>
    <row r="423" spans="16:16">
      <c r="P423" s="3213"/>
    </row>
    <row r="424" spans="16:16">
      <c r="P424" s="3213"/>
    </row>
    <row r="425" spans="16:16">
      <c r="P425" s="3213"/>
    </row>
    <row r="426" spans="16:16">
      <c r="P426" s="3213"/>
    </row>
    <row r="427" spans="16:16">
      <c r="P427" s="3213"/>
    </row>
    <row r="428" spans="16:16">
      <c r="P428" s="3213"/>
    </row>
    <row r="429" spans="16:16">
      <c r="P429" s="3213"/>
    </row>
    <row r="430" spans="16:16">
      <c r="P430" s="3213"/>
    </row>
    <row r="431" spans="16:16">
      <c r="P431" s="3213"/>
    </row>
    <row r="432" spans="16:16">
      <c r="P432" s="3213"/>
    </row>
    <row r="433" spans="16:16">
      <c r="P433" s="3213"/>
    </row>
    <row r="434" spans="16:16">
      <c r="P434" s="3213"/>
    </row>
    <row r="435" spans="16:16">
      <c r="P435" s="3213"/>
    </row>
    <row r="436" spans="16:16">
      <c r="P436" s="3213"/>
    </row>
    <row r="437" spans="16:16">
      <c r="P437" s="3213"/>
    </row>
    <row r="438" spans="16:16">
      <c r="P438" s="3213"/>
    </row>
    <row r="439" spans="16:16">
      <c r="P439" s="3213"/>
    </row>
    <row r="440" spans="16:16">
      <c r="P440" s="3213"/>
    </row>
    <row r="441" spans="16:16">
      <c r="P441" s="3213"/>
    </row>
    <row r="442" spans="16:16">
      <c r="P442" s="3213"/>
    </row>
    <row r="443" spans="16:16">
      <c r="P443" s="3213"/>
    </row>
    <row r="444" spans="16:16">
      <c r="P444" s="3213"/>
    </row>
    <row r="445" spans="16:16">
      <c r="P445" s="3213"/>
    </row>
    <row r="446" spans="16:16">
      <c r="P446" s="3213"/>
    </row>
    <row r="447" spans="16:16">
      <c r="P447" s="3213"/>
    </row>
    <row r="448" spans="16:16">
      <c r="P448" s="3213"/>
    </row>
    <row r="449" spans="16:16">
      <c r="P449" s="3213"/>
    </row>
    <row r="450" spans="16:16">
      <c r="P450" s="3213"/>
    </row>
    <row r="451" spans="16:16">
      <c r="P451" s="3213"/>
    </row>
    <row r="452" spans="16:16">
      <c r="P452" s="3213"/>
    </row>
    <row r="453" spans="16:16">
      <c r="P453" s="3213"/>
    </row>
    <row r="454" spans="16:16">
      <c r="P454" s="3213"/>
    </row>
    <row r="455" spans="16:16">
      <c r="P455" s="3213"/>
    </row>
    <row r="456" spans="16:16">
      <c r="P456" s="3213"/>
    </row>
    <row r="457" spans="16:16">
      <c r="P457" s="3213"/>
    </row>
    <row r="458" spans="16:16">
      <c r="P458" s="3213"/>
    </row>
    <row r="459" spans="16:16">
      <c r="P459" s="3213"/>
    </row>
    <row r="460" spans="16:16">
      <c r="P460" s="3213"/>
    </row>
    <row r="461" spans="16:16">
      <c r="P461" s="3213"/>
    </row>
    <row r="462" spans="16:16">
      <c r="P462" s="3213"/>
    </row>
    <row r="463" spans="16:16">
      <c r="P463" s="3213"/>
    </row>
    <row r="464" spans="16:16">
      <c r="P464" s="3213"/>
    </row>
    <row r="465" spans="16:16">
      <c r="P465" s="3213"/>
    </row>
    <row r="466" spans="16:16">
      <c r="P466" s="3213"/>
    </row>
    <row r="467" spans="16:16">
      <c r="P467" s="3213"/>
    </row>
    <row r="468" spans="16:16">
      <c r="P468" s="3213"/>
    </row>
    <row r="469" spans="16:16">
      <c r="P469" s="3213"/>
    </row>
    <row r="470" spans="16:16">
      <c r="P470" s="3213"/>
    </row>
    <row r="471" spans="16:16">
      <c r="P471" s="3213"/>
    </row>
    <row r="472" spans="16:16">
      <c r="P472" s="3213"/>
    </row>
    <row r="473" spans="16:16">
      <c r="P473" s="3213"/>
    </row>
    <row r="474" spans="16:16">
      <c r="P474" s="3213"/>
    </row>
    <row r="475" spans="16:16">
      <c r="P475" s="3213"/>
    </row>
    <row r="476" spans="16:16">
      <c r="P476" s="3213"/>
    </row>
    <row r="477" spans="16:16">
      <c r="P477" s="3213"/>
    </row>
    <row r="478" spans="16:16">
      <c r="P478" s="3213"/>
    </row>
    <row r="479" spans="16:16">
      <c r="P479" s="3213"/>
    </row>
    <row r="480" spans="16:16">
      <c r="P480" s="3213"/>
    </row>
    <row r="481" spans="16:16">
      <c r="P481" s="3213"/>
    </row>
    <row r="482" spans="16:16">
      <c r="P482" s="3213"/>
    </row>
    <row r="483" spans="16:16">
      <c r="P483" s="3213"/>
    </row>
    <row r="484" spans="16:16">
      <c r="P484" s="3213"/>
    </row>
    <row r="485" spans="16:16">
      <c r="P485" s="3213"/>
    </row>
    <row r="486" spans="16:16">
      <c r="P486" s="3213"/>
    </row>
    <row r="487" spans="16:16">
      <c r="P487" s="3213"/>
    </row>
    <row r="488" spans="16:16">
      <c r="P488" s="3213"/>
    </row>
    <row r="489" spans="16:16">
      <c r="P489" s="3213"/>
    </row>
    <row r="490" spans="16:16">
      <c r="P490" s="3213"/>
    </row>
    <row r="491" spans="16:16">
      <c r="P491" s="3213"/>
    </row>
    <row r="492" spans="16:16">
      <c r="P492" s="3213"/>
    </row>
    <row r="493" spans="16:16">
      <c r="P493" s="3213"/>
    </row>
    <row r="494" spans="16:16">
      <c r="P494" s="3213"/>
    </row>
    <row r="495" spans="16:16">
      <c r="P495" s="3213"/>
    </row>
    <row r="496" spans="16:16">
      <c r="P496" s="3213"/>
    </row>
    <row r="497" spans="16:16">
      <c r="P497" s="3213"/>
    </row>
    <row r="498" spans="16:16">
      <c r="P498" s="3213"/>
    </row>
    <row r="499" spans="16:16">
      <c r="P499" s="3213"/>
    </row>
    <row r="500" spans="16:16">
      <c r="P500" s="3213"/>
    </row>
    <row r="501" spans="16:16">
      <c r="P501" s="3213"/>
    </row>
    <row r="502" spans="16:16">
      <c r="P502" s="3213"/>
    </row>
    <row r="503" spans="16:16">
      <c r="P503" s="3213"/>
    </row>
    <row r="504" spans="16:16">
      <c r="P504" s="3213"/>
    </row>
    <row r="505" spans="16:16">
      <c r="P505" s="3213"/>
    </row>
    <row r="506" spans="16:16">
      <c r="P506" s="3213"/>
    </row>
    <row r="507" spans="16:16">
      <c r="P507" s="3213"/>
    </row>
    <row r="508" spans="16:16">
      <c r="P508" s="3213"/>
    </row>
    <row r="509" spans="16:16">
      <c r="P509" s="3213"/>
    </row>
    <row r="510" spans="16:16">
      <c r="P510" s="3213"/>
    </row>
    <row r="511" spans="16:16">
      <c r="P511" s="3213"/>
    </row>
    <row r="512" spans="16:16">
      <c r="P512" s="3213"/>
    </row>
    <row r="513" spans="16:16">
      <c r="P513" s="3213"/>
    </row>
    <row r="514" spans="16:16">
      <c r="P514" s="3213"/>
    </row>
    <row r="515" spans="16:16">
      <c r="P515" s="3213"/>
    </row>
    <row r="516" spans="16:16">
      <c r="P516" s="3213"/>
    </row>
    <row r="517" spans="16:16">
      <c r="P517" s="3213"/>
    </row>
    <row r="518" spans="16:16">
      <c r="P518" s="3213"/>
    </row>
    <row r="519" spans="16:16">
      <c r="P519" s="3213"/>
    </row>
    <row r="520" spans="16:16">
      <c r="P520" s="3213"/>
    </row>
    <row r="521" spans="16:16">
      <c r="P521" s="3213"/>
    </row>
    <row r="522" spans="16:16">
      <c r="P522" s="3213"/>
    </row>
    <row r="523" spans="16:16">
      <c r="P523" s="3213"/>
    </row>
    <row r="524" spans="16:16">
      <c r="P524" s="3213"/>
    </row>
    <row r="525" spans="16:16">
      <c r="P525" s="3213"/>
    </row>
    <row r="526" spans="16:16">
      <c r="P526" s="3213"/>
    </row>
    <row r="527" spans="16:16">
      <c r="P527" s="3213"/>
    </row>
    <row r="528" spans="16:16">
      <c r="P528" s="3213"/>
    </row>
    <row r="529" spans="16:16">
      <c r="P529" s="3213"/>
    </row>
    <row r="530" spans="16:16">
      <c r="P530" s="3213"/>
    </row>
    <row r="531" spans="16:16">
      <c r="P531" s="3213"/>
    </row>
    <row r="532" spans="16:16">
      <c r="P532" s="3213"/>
    </row>
    <row r="533" spans="16:16">
      <c r="P533" s="3213"/>
    </row>
    <row r="534" spans="16:16">
      <c r="P534" s="3213"/>
    </row>
    <row r="535" spans="16:16">
      <c r="P535" s="3213"/>
    </row>
    <row r="536" spans="16:16">
      <c r="P536" s="3213"/>
    </row>
    <row r="537" spans="16:16">
      <c r="P537" s="3213"/>
    </row>
    <row r="538" spans="16:16">
      <c r="P538" s="3213"/>
    </row>
    <row r="539" spans="16:16">
      <c r="P539" s="3213"/>
    </row>
    <row r="540" spans="16:16">
      <c r="P540" s="3213"/>
    </row>
    <row r="541" spans="16:16">
      <c r="P541" s="3213"/>
    </row>
    <row r="542" spans="16:16">
      <c r="P542" s="3213"/>
    </row>
    <row r="543" spans="16:16">
      <c r="P543" s="3213"/>
    </row>
    <row r="544" spans="16:16">
      <c r="P544" s="3213"/>
    </row>
    <row r="545" spans="16:16">
      <c r="P545" s="3213"/>
    </row>
    <row r="546" spans="16:16">
      <c r="P546" s="3213"/>
    </row>
    <row r="547" spans="16:16">
      <c r="P547" s="3213"/>
    </row>
    <row r="548" spans="16:16">
      <c r="P548" s="3213"/>
    </row>
    <row r="549" spans="16:16">
      <c r="P549" s="3213"/>
    </row>
    <row r="550" spans="16:16">
      <c r="P550" s="3213"/>
    </row>
    <row r="551" spans="16:16">
      <c r="P551" s="3213"/>
    </row>
    <row r="552" spans="16:16">
      <c r="P552" s="3213"/>
    </row>
    <row r="553" spans="16:16">
      <c r="P553" s="3213"/>
    </row>
    <row r="554" spans="16:16">
      <c r="P554" s="3213"/>
    </row>
    <row r="555" spans="16:16">
      <c r="P555" s="3213"/>
    </row>
    <row r="556" spans="16:16">
      <c r="P556" s="3213"/>
    </row>
    <row r="557" spans="16:16">
      <c r="P557" s="3213"/>
    </row>
    <row r="558" spans="16:16">
      <c r="P558" s="3213"/>
    </row>
    <row r="559" spans="16:16">
      <c r="P559" s="3213"/>
    </row>
    <row r="560" spans="16:16">
      <c r="P560" s="3213"/>
    </row>
    <row r="561" spans="16:16">
      <c r="P561" s="3213"/>
    </row>
    <row r="562" spans="16:16">
      <c r="P562" s="3213"/>
    </row>
    <row r="563" spans="16:16">
      <c r="P563" s="3213"/>
    </row>
    <row r="564" spans="16:16">
      <c r="P564" s="3213"/>
    </row>
    <row r="565" spans="16:16">
      <c r="P565" s="3213"/>
    </row>
    <row r="566" spans="16:16">
      <c r="P566" s="3213"/>
    </row>
    <row r="567" spans="16:16">
      <c r="P567" s="3213"/>
    </row>
    <row r="568" spans="16:16">
      <c r="P568" s="3213"/>
    </row>
    <row r="569" spans="16:16">
      <c r="P569" s="3213"/>
    </row>
    <row r="570" spans="16:16">
      <c r="P570" s="3213"/>
    </row>
    <row r="571" spans="16:16">
      <c r="P571" s="3213"/>
    </row>
    <row r="572" spans="16:16">
      <c r="P572" s="3213"/>
    </row>
    <row r="573" spans="16:16">
      <c r="P573" s="3213"/>
    </row>
    <row r="574" spans="16:16">
      <c r="P574" s="3213"/>
    </row>
    <row r="575" spans="16:16">
      <c r="P575" s="3213"/>
    </row>
    <row r="576" spans="16:16">
      <c r="P576" s="3213"/>
    </row>
    <row r="577" spans="16:16">
      <c r="P577" s="3213"/>
    </row>
    <row r="578" spans="16:16">
      <c r="P578" s="3213"/>
    </row>
    <row r="579" spans="16:16">
      <c r="P579" s="3213"/>
    </row>
    <row r="580" spans="16:16">
      <c r="P580" s="3213"/>
    </row>
    <row r="581" spans="16:16">
      <c r="P581" s="3213"/>
    </row>
    <row r="582" spans="16:16">
      <c r="P582" s="3213"/>
    </row>
    <row r="583" spans="16:16">
      <c r="P583" s="3213"/>
    </row>
    <row r="584" spans="16:16">
      <c r="P584" s="3213"/>
    </row>
    <row r="585" spans="16:16">
      <c r="P585" s="3213"/>
    </row>
    <row r="586" spans="16:16">
      <c r="P586" s="3213"/>
    </row>
    <row r="587" spans="16:16">
      <c r="P587" s="3213"/>
    </row>
    <row r="588" spans="16:16">
      <c r="P588" s="3213"/>
    </row>
    <row r="589" spans="16:16">
      <c r="P589" s="3213"/>
    </row>
    <row r="590" spans="16:16">
      <c r="P590" s="3213"/>
    </row>
    <row r="591" spans="16:16">
      <c r="P591" s="3213"/>
    </row>
    <row r="592" spans="16:16">
      <c r="P592" s="3213"/>
    </row>
    <row r="593" spans="16:16">
      <c r="P593" s="3213"/>
    </row>
    <row r="594" spans="16:16">
      <c r="P594" s="3213"/>
    </row>
    <row r="595" spans="16:16">
      <c r="P595" s="3213"/>
    </row>
    <row r="596" spans="16:16">
      <c r="P596" s="3213"/>
    </row>
    <row r="597" spans="16:16">
      <c r="P597" s="3213"/>
    </row>
    <row r="598" spans="16:16">
      <c r="P598" s="3213"/>
    </row>
    <row r="599" spans="16:16">
      <c r="P599" s="3213"/>
    </row>
    <row r="600" spans="16:16">
      <c r="P600" s="3213"/>
    </row>
    <row r="601" spans="16:16">
      <c r="P601" s="3213"/>
    </row>
    <row r="602" spans="16:16">
      <c r="P602" s="3213"/>
    </row>
    <row r="603" spans="16:16">
      <c r="P603" s="3213"/>
    </row>
    <row r="604" spans="16:16">
      <c r="P604" s="3213"/>
    </row>
    <row r="605" spans="16:16">
      <c r="P605" s="3213"/>
    </row>
    <row r="606" spans="16:16">
      <c r="P606" s="3213"/>
    </row>
    <row r="607" spans="16:16">
      <c r="P607" s="3213"/>
    </row>
    <row r="608" spans="16:16">
      <c r="P608" s="3213"/>
    </row>
    <row r="609" spans="16:16">
      <c r="P609" s="3213"/>
    </row>
    <row r="610" spans="16:16">
      <c r="P610" s="3213"/>
    </row>
    <row r="611" spans="16:16">
      <c r="P611" s="3213"/>
    </row>
    <row r="612" spans="16:16">
      <c r="P612" s="3213"/>
    </row>
    <row r="613" spans="16:16">
      <c r="P613" s="3213"/>
    </row>
    <row r="614" spans="16:16">
      <c r="P614" s="3213"/>
    </row>
    <row r="615" spans="16:16">
      <c r="P615" s="3213"/>
    </row>
    <row r="616" spans="16:16">
      <c r="P616" s="3213"/>
    </row>
    <row r="617" spans="16:16">
      <c r="P617" s="3213"/>
    </row>
    <row r="618" spans="16:16">
      <c r="P618" s="3213"/>
    </row>
    <row r="619" spans="16:16">
      <c r="P619" s="3213"/>
    </row>
    <row r="620" spans="16:16">
      <c r="P620" s="3213"/>
    </row>
    <row r="621" spans="16:16">
      <c r="P621" s="3213"/>
    </row>
    <row r="622" spans="16:16">
      <c r="P622" s="3213"/>
    </row>
    <row r="623" spans="16:16">
      <c r="P623" s="3213"/>
    </row>
    <row r="624" spans="16:16">
      <c r="P624" s="3213"/>
    </row>
    <row r="625" spans="16:16">
      <c r="P625" s="3213"/>
    </row>
    <row r="626" spans="16:16">
      <c r="P626" s="3213"/>
    </row>
    <row r="627" spans="16:16">
      <c r="P627" s="3213"/>
    </row>
    <row r="628" spans="16:16">
      <c r="P628" s="3213"/>
    </row>
    <row r="629" spans="16:16">
      <c r="P629" s="3213"/>
    </row>
    <row r="630" spans="16:16">
      <c r="P630" s="3213"/>
    </row>
    <row r="631" spans="16:16">
      <c r="P631" s="3213"/>
    </row>
    <row r="632" spans="16:16">
      <c r="P632" s="3213"/>
    </row>
    <row r="633" spans="16:16">
      <c r="P633" s="3213"/>
    </row>
    <row r="634" spans="16:16">
      <c r="P634" s="3213"/>
    </row>
    <row r="635" spans="16:16">
      <c r="P635" s="3213"/>
    </row>
    <row r="636" spans="16:16">
      <c r="P636" s="3213"/>
    </row>
    <row r="637" spans="16:16">
      <c r="P637" s="3213"/>
    </row>
    <row r="638" spans="16:16">
      <c r="P638" s="3213"/>
    </row>
    <row r="639" spans="16:16">
      <c r="P639" s="3213"/>
    </row>
    <row r="640" spans="16:16">
      <c r="P640" s="3213"/>
    </row>
    <row r="641" spans="16:16">
      <c r="P641" s="3213"/>
    </row>
    <row r="642" spans="16:16">
      <c r="P642" s="3213"/>
    </row>
    <row r="643" spans="16:16">
      <c r="P643" s="3213"/>
    </row>
    <row r="644" spans="16:16">
      <c r="P644" s="3213"/>
    </row>
    <row r="645" spans="16:16">
      <c r="P645" s="3213"/>
    </row>
    <row r="646" spans="16:16">
      <c r="P646" s="3213"/>
    </row>
    <row r="647" spans="16:16">
      <c r="P647" s="3213"/>
    </row>
    <row r="648" spans="16:16">
      <c r="P648" s="3213"/>
    </row>
    <row r="649" spans="16:16">
      <c r="P649" s="3213"/>
    </row>
    <row r="650" spans="16:16">
      <c r="P650" s="3213"/>
    </row>
    <row r="651" spans="16:16">
      <c r="P651" s="3213"/>
    </row>
    <row r="652" spans="16:16">
      <c r="P652" s="3213"/>
    </row>
    <row r="653" spans="16:16">
      <c r="P653" s="3213"/>
    </row>
    <row r="654" spans="16:16">
      <c r="P654" s="3213"/>
    </row>
    <row r="655" spans="16:16">
      <c r="P655" s="3213"/>
    </row>
    <row r="656" spans="16:16">
      <c r="P656" s="3213"/>
    </row>
    <row r="657" spans="16:16">
      <c r="P657" s="3213"/>
    </row>
    <row r="658" spans="16:16">
      <c r="P658" s="3213"/>
    </row>
    <row r="659" spans="16:16">
      <c r="P659" s="3213"/>
    </row>
    <row r="660" spans="16:16">
      <c r="P660" s="3213"/>
    </row>
    <row r="661" spans="16:16">
      <c r="P661" s="3213"/>
    </row>
    <row r="662" spans="16:16">
      <c r="P662" s="3213"/>
    </row>
    <row r="663" spans="16:16">
      <c r="P663" s="3213"/>
    </row>
    <row r="664" spans="16:16">
      <c r="P664" s="3213"/>
    </row>
    <row r="665" spans="16:16">
      <c r="P665" s="3213"/>
    </row>
    <row r="666" spans="16:16">
      <c r="P666" s="3213"/>
    </row>
    <row r="667" spans="16:16">
      <c r="P667" s="3213"/>
    </row>
    <row r="668" spans="16:16">
      <c r="P668" s="3213"/>
    </row>
    <row r="669" spans="16:16">
      <c r="P669" s="3213"/>
    </row>
    <row r="670" spans="16:16">
      <c r="P670" s="3213"/>
    </row>
    <row r="671" spans="16:16">
      <c r="P671" s="3213"/>
    </row>
    <row r="672" spans="16:16">
      <c r="P672" s="3213"/>
    </row>
    <row r="673" spans="16:16">
      <c r="P673" s="3213"/>
    </row>
    <row r="674" spans="16:16">
      <c r="P674" s="3213"/>
    </row>
    <row r="675" spans="16:16">
      <c r="P675" s="3213"/>
    </row>
    <row r="676" spans="16:16">
      <c r="P676" s="3213"/>
    </row>
    <row r="677" spans="16:16">
      <c r="P677" s="3213"/>
    </row>
    <row r="678" spans="16:16">
      <c r="P678" s="3213"/>
    </row>
    <row r="679" spans="16:16">
      <c r="P679" s="3213"/>
    </row>
    <row r="680" spans="16:16">
      <c r="P680" s="3213"/>
    </row>
    <row r="681" spans="16:16">
      <c r="P681" s="3213"/>
    </row>
    <row r="682" spans="16:16">
      <c r="P682" s="3213"/>
    </row>
    <row r="683" spans="16:16">
      <c r="P683" s="3213"/>
    </row>
    <row r="684" spans="16:16">
      <c r="P684" s="3213"/>
    </row>
    <row r="685" spans="16:16">
      <c r="P685" s="3213"/>
    </row>
    <row r="686" spans="16:16">
      <c r="P686" s="3213"/>
    </row>
    <row r="687" spans="16:16">
      <c r="P687" s="3213"/>
    </row>
    <row r="688" spans="16:16">
      <c r="P688" s="3213"/>
    </row>
    <row r="689" spans="16:16">
      <c r="P689" s="3213"/>
    </row>
    <row r="690" spans="16:16">
      <c r="P690" s="3213"/>
    </row>
    <row r="691" spans="16:16">
      <c r="P691" s="3213"/>
    </row>
    <row r="692" spans="16:16">
      <c r="P692" s="3213"/>
    </row>
    <row r="693" spans="16:16">
      <c r="P693" s="3213"/>
    </row>
    <row r="694" spans="16:16">
      <c r="P694" s="3213"/>
    </row>
    <row r="695" spans="16:16">
      <c r="P695" s="3213"/>
    </row>
    <row r="696" spans="16:16">
      <c r="P696" s="3213"/>
    </row>
    <row r="697" spans="16:16">
      <c r="P697" s="3213"/>
    </row>
    <row r="698" spans="16:16">
      <c r="P698" s="3213"/>
    </row>
    <row r="699" spans="16:16">
      <c r="P699" s="3213"/>
    </row>
    <row r="700" spans="16:16">
      <c r="P700" s="3213"/>
    </row>
    <row r="701" spans="16:16">
      <c r="P701" s="3213"/>
    </row>
    <row r="702" spans="16:16">
      <c r="P702" s="3213"/>
    </row>
    <row r="703" spans="16:16">
      <c r="P703" s="3213"/>
    </row>
    <row r="704" spans="16:16">
      <c r="P704" s="3213"/>
    </row>
    <row r="705" spans="16:16">
      <c r="P705" s="3213"/>
    </row>
    <row r="706" spans="16:16">
      <c r="P706" s="3213"/>
    </row>
    <row r="707" spans="16:16">
      <c r="P707" s="3213"/>
    </row>
    <row r="708" spans="16:16">
      <c r="P708" s="3213"/>
    </row>
    <row r="709" spans="16:16">
      <c r="P709" s="3213"/>
    </row>
    <row r="710" spans="16:16">
      <c r="P710" s="3213"/>
    </row>
    <row r="711" spans="16:16">
      <c r="P711" s="3213"/>
    </row>
    <row r="712" spans="16:16">
      <c r="P712" s="3213"/>
    </row>
    <row r="713" spans="16:16">
      <c r="P713" s="3213"/>
    </row>
    <row r="714" spans="16:16">
      <c r="P714" s="3213"/>
    </row>
    <row r="715" spans="16:16">
      <c r="P715" s="3213"/>
    </row>
    <row r="716" spans="16:16">
      <c r="P716" s="3213"/>
    </row>
    <row r="717" spans="16:16">
      <c r="P717" s="3213"/>
    </row>
    <row r="718" spans="16:16">
      <c r="P718" s="3213"/>
    </row>
  </sheetData>
  <sheetProtection password="83C1" sheet="1" objects="1" scenarios="1"/>
  <sortState ref="M2:U259">
    <sortCondition ref="N2:N259"/>
  </sortState>
  <mergeCells count="14">
    <mergeCell ref="B3:J3"/>
    <mergeCell ref="F16:I16"/>
    <mergeCell ref="F18:I18"/>
    <mergeCell ref="B14:C14"/>
    <mergeCell ref="D6:I6"/>
    <mergeCell ref="F10:I10"/>
    <mergeCell ref="B18:C18"/>
    <mergeCell ref="B6:C6"/>
    <mergeCell ref="B10:C10"/>
    <mergeCell ref="B12:C12"/>
    <mergeCell ref="F11:I11"/>
    <mergeCell ref="F12:I12"/>
    <mergeCell ref="F14:I14"/>
    <mergeCell ref="B16:C16"/>
  </mergeCells>
  <phoneticPr fontId="4" type="noConversion"/>
  <dataValidations count="1">
    <dataValidation type="list" allowBlank="1" showInputMessage="1" showErrorMessage="1" sqref="D6:I6">
      <formula1>$N$2:$N$259</formula1>
    </dataValidation>
  </dataValidations>
  <hyperlinks>
    <hyperlink ref="A1" location="'תוכן הענינים'!A1" tooltip="לחץ להצגת גליון תוכן הענינים" display="הצג תוכן ענינים"/>
  </hyperlinks>
  <printOptions horizontalCentered="1"/>
  <pageMargins left="0.75" right="0.75" top="1" bottom="1" header="0.5" footer="0.5"/>
  <pageSetup paperSize="9" orientation="portrait" blackAndWhite="1" horizontalDpi="300" verticalDpi="300" r:id="rId1"/>
  <headerFooter alignWithMargins="0">
    <oddHeader>&amp;L&amp;8&amp;A</oddHeader>
    <oddFooter>&amp;C&amp;8&amp;P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2">
    <pageSetUpPr autoPageBreaks="0"/>
  </sheetPr>
  <dimension ref="A1:N143"/>
  <sheetViews>
    <sheetView showGridLines="0" showRowColHeaders="0" showZeros="0" rightToLeft="1" showOutlineSymbols="0" zoomScale="85" zoomScaleNormal="90" zoomScaleSheetLayoutView="75" workbookViewId="0">
      <selection activeCell="A4" sqref="A4"/>
    </sheetView>
  </sheetViews>
  <sheetFormatPr defaultColWidth="9.109375" defaultRowHeight="15"/>
  <cols>
    <col min="1" max="1" width="10.44140625" style="155" bestFit="1" customWidth="1"/>
    <col min="2" max="2" width="36.5546875" style="155" customWidth="1"/>
    <col min="3" max="3" width="3.33203125" style="155" customWidth="1"/>
    <col min="4" max="4" width="6.6640625" style="155" customWidth="1"/>
    <col min="5" max="5" width="3.5546875" style="155" customWidth="1"/>
    <col min="6" max="6" width="11.5546875" style="155" customWidth="1"/>
    <col min="7" max="7" width="11.6640625" style="155" customWidth="1"/>
    <col min="8" max="8" width="2.44140625" style="174" customWidth="1"/>
    <col min="9" max="9" width="11.6640625" style="155" customWidth="1"/>
    <col min="10" max="10" width="2.5546875" style="174" customWidth="1"/>
    <col min="11" max="11" width="5.6640625" style="156" customWidth="1"/>
    <col min="12" max="12" width="10.5546875" style="156" customWidth="1"/>
    <col min="13" max="14" width="9.109375" style="156"/>
    <col min="15" max="16384" width="9.109375" style="155"/>
  </cols>
  <sheetData>
    <row r="1" spans="1:14" s="95" customFormat="1" ht="17.399999999999999">
      <c r="A1" s="89"/>
      <c r="B1" s="90"/>
      <c r="C1" s="91"/>
      <c r="D1" s="3366" t="str">
        <f>'הגדרות כלליות'!D6</f>
        <v>עירית הרצליה</v>
      </c>
      <c r="E1" s="3367"/>
      <c r="F1" s="3367"/>
      <c r="G1" s="3367"/>
      <c r="H1" s="3367"/>
      <c r="I1" s="3367"/>
      <c r="J1" s="3367"/>
      <c r="K1" s="3367"/>
      <c r="L1" s="92"/>
      <c r="M1" s="93"/>
      <c r="N1" s="94"/>
    </row>
    <row r="2" spans="1:14" s="95" customFormat="1" ht="15" customHeight="1">
      <c r="A2" s="89"/>
      <c r="B2" s="91"/>
      <c r="C2" s="91"/>
      <c r="D2" s="3366" t="str">
        <f>CONCATENATE("מאזן ליום 31 בדצמבר "," ",'הגדרות כלליות'!D10)</f>
        <v>מאזן ליום 31 בדצמבר  2015</v>
      </c>
      <c r="E2" s="3367"/>
      <c r="F2" s="3367"/>
      <c r="G2" s="3367"/>
      <c r="H2" s="3367"/>
      <c r="I2" s="3367"/>
      <c r="J2" s="3367"/>
      <c r="K2" s="3367"/>
      <c r="L2" s="96"/>
      <c r="M2" s="93"/>
      <c r="N2" s="94"/>
    </row>
    <row r="3" spans="1:14" s="95" customFormat="1" ht="19.5" customHeight="1">
      <c r="A3" s="89"/>
      <c r="B3" s="98"/>
      <c r="C3" s="91"/>
      <c r="D3" s="3366" t="s">
        <v>338</v>
      </c>
      <c r="E3" s="3367"/>
      <c r="F3" s="3367"/>
      <c r="G3" s="3367"/>
      <c r="H3" s="3367"/>
      <c r="I3" s="3367"/>
      <c r="J3" s="3367"/>
      <c r="K3" s="3367"/>
      <c r="L3" s="96"/>
      <c r="M3" s="93"/>
      <c r="N3" s="94"/>
    </row>
    <row r="4" spans="1:14" s="95" customFormat="1" ht="26.25" customHeight="1">
      <c r="A4" s="7" t="s">
        <v>339</v>
      </c>
      <c r="B4" s="8"/>
      <c r="C4" s="99"/>
      <c r="D4" s="99"/>
      <c r="E4" s="99"/>
      <c r="F4" s="99"/>
      <c r="G4" s="99"/>
      <c r="H4" s="99"/>
      <c r="I4" s="99"/>
      <c r="J4" s="99"/>
      <c r="K4" s="100"/>
      <c r="L4" s="101"/>
      <c r="M4" s="93"/>
      <c r="N4" s="102"/>
    </row>
    <row r="5" spans="1:14" s="95" customFormat="1" ht="14.25" customHeight="1">
      <c r="A5" s="103"/>
      <c r="B5" s="104" t="s">
        <v>367</v>
      </c>
      <c r="C5" s="105"/>
      <c r="D5" s="16"/>
      <c r="E5" s="16"/>
      <c r="F5" s="16" t="s">
        <v>341</v>
      </c>
      <c r="G5" s="2910" t="str">
        <f>CONCATENATE('הגדרות כלליות'!D18,".",'הגדרות כלליות'!D10)</f>
        <v>31.12.2015</v>
      </c>
      <c r="H5" s="16"/>
      <c r="I5" s="2910" t="str">
        <f>CONCATENATE('הגדרות כלליות'!D18,".",'הגדרות כלליות'!D12)</f>
        <v>31.12.2014</v>
      </c>
      <c r="J5" s="106"/>
      <c r="K5" s="107"/>
      <c r="L5" s="101"/>
      <c r="M5" s="108"/>
      <c r="N5" s="94"/>
    </row>
    <row r="6" spans="1:14" s="95" customFormat="1" ht="16.2" customHeight="1">
      <c r="A6" s="103"/>
      <c r="B6" s="109"/>
      <c r="C6" s="110"/>
      <c r="D6" s="111"/>
      <c r="E6" s="111"/>
      <c r="F6" s="111"/>
      <c r="G6" s="111"/>
      <c r="H6" s="111"/>
      <c r="I6" s="111"/>
      <c r="J6" s="112"/>
      <c r="K6" s="113"/>
      <c r="L6" s="114"/>
      <c r="M6" s="108"/>
      <c r="N6" s="94"/>
    </row>
    <row r="7" spans="1:14" s="95" customFormat="1">
      <c r="A7" s="103"/>
      <c r="B7" s="115" t="s">
        <v>368</v>
      </c>
      <c r="C7" s="116"/>
      <c r="D7" s="116"/>
      <c r="E7" s="111"/>
      <c r="F7" s="111"/>
      <c r="G7" s="111"/>
      <c r="H7" s="111"/>
      <c r="I7" s="111"/>
      <c r="J7" s="117"/>
      <c r="K7" s="118"/>
      <c r="L7" s="103"/>
      <c r="M7" s="108"/>
      <c r="N7" s="94"/>
    </row>
    <row r="8" spans="1:14" s="95" customFormat="1">
      <c r="A8" s="103"/>
      <c r="B8" s="119" t="s">
        <v>369</v>
      </c>
      <c r="C8" s="116"/>
      <c r="D8" s="116"/>
      <c r="E8" s="111"/>
      <c r="F8" s="3157" t="s">
        <v>373</v>
      </c>
      <c r="G8" s="121">
        <f>'ביאור 3'!C86</f>
        <v>8</v>
      </c>
      <c r="H8" s="122"/>
      <c r="I8" s="121">
        <f>'ביאור 3'!E86</f>
        <v>41</v>
      </c>
      <c r="J8" s="234"/>
      <c r="K8" s="118"/>
      <c r="L8" s="123"/>
      <c r="M8" s="108"/>
      <c r="N8" s="94"/>
    </row>
    <row r="9" spans="1:14" s="95" customFormat="1">
      <c r="A9" s="103"/>
      <c r="B9" s="119" t="s">
        <v>372</v>
      </c>
      <c r="C9" s="116"/>
      <c r="D9" s="116" t="s">
        <v>360</v>
      </c>
      <c r="E9" s="111"/>
      <c r="F9" s="3157" t="s">
        <v>375</v>
      </c>
      <c r="G9" s="124">
        <f>'ביאור 3'!C98</f>
        <v>224455</v>
      </c>
      <c r="H9" s="122"/>
      <c r="I9" s="124">
        <f>'ביאור 3'!E98</f>
        <v>210991</v>
      </c>
      <c r="J9" s="234"/>
      <c r="K9" s="118"/>
      <c r="L9" s="123"/>
      <c r="M9" s="108"/>
      <c r="N9" s="94"/>
    </row>
    <row r="10" spans="1:14" s="95" customFormat="1">
      <c r="A10" s="103"/>
      <c r="B10" s="119" t="s">
        <v>374</v>
      </c>
      <c r="C10" s="116"/>
      <c r="D10" s="116"/>
      <c r="E10" s="111"/>
      <c r="F10" s="128" t="s">
        <v>383</v>
      </c>
      <c r="G10" s="126">
        <f>'ביאור 3'!C108</f>
        <v>10231</v>
      </c>
      <c r="H10" s="125"/>
      <c r="I10" s="126">
        <f>'ביאור 3'!E108</f>
        <v>7416</v>
      </c>
      <c r="J10" s="234"/>
      <c r="K10" s="118"/>
      <c r="L10" s="123"/>
      <c r="M10" s="108"/>
      <c r="N10" s="94"/>
    </row>
    <row r="11" spans="1:14" s="95" customFormat="1">
      <c r="A11" s="103"/>
      <c r="B11" s="127" t="s">
        <v>350</v>
      </c>
      <c r="C11" s="116"/>
      <c r="D11" s="116"/>
      <c r="E11" s="111"/>
      <c r="F11" s="128" t="s">
        <v>350</v>
      </c>
      <c r="G11" s="129"/>
      <c r="H11" s="125"/>
      <c r="I11" s="129"/>
      <c r="J11" s="234"/>
      <c r="K11" s="118"/>
      <c r="L11" s="123"/>
      <c r="M11" s="108"/>
      <c r="N11" s="94"/>
    </row>
    <row r="12" spans="1:14" s="95" customFormat="1">
      <c r="A12" s="103"/>
      <c r="B12" s="119" t="s">
        <v>376</v>
      </c>
      <c r="C12" s="116"/>
      <c r="D12" s="116"/>
      <c r="E12" s="111"/>
      <c r="F12" s="125"/>
      <c r="G12" s="130">
        <f>SUM(G8:G11)</f>
        <v>234694</v>
      </c>
      <c r="H12" s="125"/>
      <c r="I12" s="130">
        <f>SUM(I8:I11)</f>
        <v>218448</v>
      </c>
      <c r="J12" s="234"/>
      <c r="K12" s="118"/>
      <c r="L12" s="123"/>
      <c r="M12" s="108"/>
      <c r="N12" s="94"/>
    </row>
    <row r="13" spans="1:14" s="95" customFormat="1">
      <c r="A13" s="103"/>
      <c r="B13" s="119"/>
      <c r="C13" s="116"/>
      <c r="D13" s="116"/>
      <c r="E13" s="111"/>
      <c r="F13" s="125"/>
      <c r="G13" s="125"/>
      <c r="H13" s="125"/>
      <c r="I13" s="125"/>
      <c r="J13" s="117"/>
      <c r="K13" s="118"/>
      <c r="L13" s="123"/>
      <c r="M13" s="108"/>
      <c r="N13" s="94"/>
    </row>
    <row r="14" spans="1:14" s="95" customFormat="1">
      <c r="A14" s="103"/>
      <c r="B14" s="115" t="str">
        <f>IF(OR('ביאור 3'!C153&lt;&gt;0,'ביאור 3'!E153&lt;&gt;0),'ביאור 3'!B149,"(***)")</f>
        <v>(***)</v>
      </c>
      <c r="C14" s="131"/>
      <c r="D14" s="116"/>
      <c r="E14" s="111"/>
      <c r="F14" s="132" t="s">
        <v>350</v>
      </c>
      <c r="G14" s="133">
        <f>'ביאור 3'!C153</f>
        <v>0</v>
      </c>
      <c r="H14" s="125"/>
      <c r="I14" s="133">
        <f>'ביאור 3'!E153</f>
        <v>0</v>
      </c>
      <c r="J14" s="234"/>
      <c r="K14" s="118"/>
      <c r="L14" s="123"/>
      <c r="M14" s="108"/>
      <c r="N14" s="94"/>
    </row>
    <row r="15" spans="1:14" s="95" customFormat="1">
      <c r="A15" s="103"/>
      <c r="B15" s="115" t="s">
        <v>377</v>
      </c>
      <c r="C15" s="116"/>
      <c r="D15" s="116"/>
      <c r="E15" s="111"/>
      <c r="F15" s="134"/>
      <c r="G15" s="122"/>
      <c r="H15" s="125"/>
      <c r="I15" s="122"/>
      <c r="J15" s="117"/>
      <c r="K15" s="118"/>
      <c r="L15" s="123"/>
      <c r="M15" s="108"/>
      <c r="N15" s="94"/>
    </row>
    <row r="16" spans="1:14" s="95" customFormat="1">
      <c r="A16" s="103"/>
      <c r="B16" s="119" t="s">
        <v>378</v>
      </c>
      <c r="C16" s="116"/>
      <c r="D16" s="116" t="s">
        <v>360</v>
      </c>
      <c r="E16" s="111"/>
      <c r="F16" s="132">
        <v>5</v>
      </c>
      <c r="G16" s="121">
        <f>'ביאור 5'!P26</f>
        <v>162229</v>
      </c>
      <c r="H16" s="122"/>
      <c r="I16" s="121">
        <f>'ביאור 5'!P14</f>
        <v>177966</v>
      </c>
      <c r="J16" s="234"/>
      <c r="K16" s="118"/>
      <c r="L16" s="123"/>
      <c r="M16" s="108"/>
      <c r="N16" s="94"/>
    </row>
    <row r="17" spans="1:14" s="95" customFormat="1">
      <c r="A17" s="103"/>
      <c r="B17" s="119" t="s">
        <v>379</v>
      </c>
      <c r="C17" s="116"/>
      <c r="D17" s="116"/>
      <c r="E17" s="111"/>
      <c r="F17" s="134" t="s">
        <v>380</v>
      </c>
      <c r="G17" s="124">
        <f>IF('טופס 3'!$G$39&gt;0, ('טופס 3'!$G$39),0)</f>
        <v>276122</v>
      </c>
      <c r="H17" s="122"/>
      <c r="I17" s="124">
        <f>IF('טופס 3'!$I$39&gt;0,('טופס 3'!$I$39),0)</f>
        <v>126658</v>
      </c>
      <c r="J17" s="234"/>
      <c r="K17" s="118"/>
      <c r="L17" s="123"/>
      <c r="M17" s="108"/>
      <c r="N17" s="94"/>
    </row>
    <row r="18" spans="1:14" s="95" customFormat="1">
      <c r="A18" s="103"/>
      <c r="B18" s="3368" t="s">
        <v>350</v>
      </c>
      <c r="C18" s="3369"/>
      <c r="D18" s="3369"/>
      <c r="E18" s="111"/>
      <c r="F18" s="132" t="s">
        <v>350</v>
      </c>
      <c r="G18" s="135"/>
      <c r="H18" s="122"/>
      <c r="I18" s="135"/>
      <c r="J18" s="234"/>
      <c r="K18" s="118"/>
      <c r="L18" s="123"/>
      <c r="M18" s="108"/>
      <c r="N18" s="94"/>
    </row>
    <row r="19" spans="1:14" s="95" customFormat="1">
      <c r="A19" s="103"/>
      <c r="B19" s="136"/>
      <c r="C19" s="116"/>
      <c r="D19" s="116"/>
      <c r="E19" s="111"/>
      <c r="F19" s="134"/>
      <c r="G19" s="137">
        <f>G16+G17+G18</f>
        <v>438351</v>
      </c>
      <c r="H19" s="125"/>
      <c r="I19" s="137">
        <f>I16+I17+I18</f>
        <v>304624</v>
      </c>
      <c r="J19" s="234"/>
      <c r="K19" s="118"/>
      <c r="L19" s="123"/>
      <c r="M19" s="108"/>
      <c r="N19" s="94"/>
    </row>
    <row r="20" spans="1:14" s="95" customFormat="1">
      <c r="A20" s="103"/>
      <c r="B20" s="138"/>
      <c r="C20" s="116"/>
      <c r="D20" s="116"/>
      <c r="E20" s="111"/>
      <c r="F20" s="134"/>
      <c r="G20" s="122"/>
      <c r="H20" s="125"/>
      <c r="I20" s="122"/>
      <c r="J20" s="117"/>
      <c r="K20" s="118"/>
      <c r="L20" s="123"/>
      <c r="M20" s="108"/>
      <c r="N20" s="94"/>
    </row>
    <row r="21" spans="1:14" s="95" customFormat="1" ht="16.2" customHeight="1">
      <c r="A21" s="103"/>
      <c r="B21" s="115" t="s">
        <v>381</v>
      </c>
      <c r="C21" s="131"/>
      <c r="D21" s="116"/>
      <c r="E21" s="111"/>
      <c r="F21" s="132" t="s">
        <v>573</v>
      </c>
      <c r="G21" s="139">
        <f>'ביאור 3'!C123</f>
        <v>8883</v>
      </c>
      <c r="H21" s="125"/>
      <c r="I21" s="139">
        <f>'ביאור 3'!E123</f>
        <v>8570</v>
      </c>
      <c r="J21" s="234"/>
      <c r="K21" s="118"/>
      <c r="L21" s="123"/>
      <c r="M21" s="108"/>
      <c r="N21" s="94"/>
    </row>
    <row r="22" spans="1:14" s="95" customFormat="1" ht="16.2" customHeight="1">
      <c r="A22" s="103"/>
      <c r="B22" s="119"/>
      <c r="C22" s="131"/>
      <c r="D22" s="116"/>
      <c r="E22" s="111"/>
      <c r="F22" s="134"/>
      <c r="G22" s="117"/>
      <c r="H22" s="125"/>
      <c r="I22" s="117"/>
      <c r="J22" s="117"/>
      <c r="K22" s="118"/>
      <c r="L22" s="123"/>
      <c r="M22" s="108"/>
      <c r="N22" s="94"/>
    </row>
    <row r="23" spans="1:14" s="95" customFormat="1">
      <c r="A23" s="103"/>
      <c r="B23" s="115" t="s">
        <v>382</v>
      </c>
      <c r="C23" s="116"/>
      <c r="D23" s="116" t="s">
        <v>360</v>
      </c>
      <c r="E23" s="111"/>
      <c r="F23" s="132" t="s">
        <v>1516</v>
      </c>
      <c r="G23" s="139">
        <f>'ביאור 3'!C131</f>
        <v>180910</v>
      </c>
      <c r="H23" s="125"/>
      <c r="I23" s="139">
        <f>'ביאור 3'!E131</f>
        <v>180745</v>
      </c>
      <c r="J23" s="234"/>
      <c r="K23" s="118"/>
      <c r="L23" s="123"/>
      <c r="M23" s="108"/>
      <c r="N23" s="94"/>
    </row>
    <row r="24" spans="1:14" s="95" customFormat="1" ht="16.2" customHeight="1">
      <c r="A24" s="103"/>
      <c r="B24" s="127" t="s">
        <v>350</v>
      </c>
      <c r="C24" s="131"/>
      <c r="D24" s="116"/>
      <c r="E24" s="111"/>
      <c r="F24" s="132" t="s">
        <v>350</v>
      </c>
      <c r="G24" s="133"/>
      <c r="H24" s="125"/>
      <c r="I24" s="133"/>
      <c r="J24" s="234"/>
      <c r="K24" s="118"/>
      <c r="L24" s="123"/>
      <c r="M24" s="108"/>
      <c r="N24" s="94"/>
    </row>
    <row r="25" spans="1:14" s="95" customFormat="1" ht="16.2" customHeight="1">
      <c r="A25" s="103"/>
      <c r="B25" s="115"/>
      <c r="C25" s="131"/>
      <c r="D25" s="116"/>
      <c r="E25" s="111"/>
      <c r="F25" s="134"/>
      <c r="G25" s="122"/>
      <c r="H25" s="125"/>
      <c r="I25" s="122"/>
      <c r="J25" s="117"/>
      <c r="K25" s="118"/>
      <c r="L25" s="123"/>
      <c r="M25" s="108"/>
      <c r="N25" s="94"/>
    </row>
    <row r="26" spans="1:14" s="95" customFormat="1">
      <c r="A26" s="103"/>
      <c r="B26" s="115" t="s">
        <v>384</v>
      </c>
      <c r="C26" s="116"/>
      <c r="D26" s="116"/>
      <c r="E26" s="111"/>
      <c r="F26" s="134"/>
      <c r="G26" s="122"/>
      <c r="H26" s="120"/>
      <c r="I26" s="122"/>
      <c r="J26" s="117"/>
      <c r="K26" s="118"/>
      <c r="L26" s="123"/>
      <c r="M26" s="108"/>
      <c r="N26" s="94"/>
    </row>
    <row r="27" spans="1:14" s="95" customFormat="1">
      <c r="A27" s="103"/>
      <c r="B27" s="119" t="str">
        <f>IF(OR(AND(I27&gt;0,G27&gt;0),AND(I27&gt;0,G27=0),AND(I27=0,G27&gt;0)),'נתונים לטופס 1'!A43,IF(OR(AND(I27&lt;0,G27&lt;0),AND(I27&lt;0,G27=0),AND(I27=0,G27&lt;0)),'נתונים לטופס 1'!A44,IF(G27&gt;0,'נתונים לטופס 1'!A45,'נתונים לטופס 1'!A46)))</f>
        <v>עודף לתחילת השנה</v>
      </c>
      <c r="C27" s="116"/>
      <c r="D27" s="116"/>
      <c r="E27" s="111"/>
      <c r="F27" s="132" t="s">
        <v>350</v>
      </c>
      <c r="G27" s="124">
        <f>IF('נתונים לטופס 1'!$D$24&gt;0,'נתונים לטופס 1'!D20, 0)</f>
        <v>23286</v>
      </c>
      <c r="H27" s="120"/>
      <c r="I27" s="121">
        <f>IF('נתונים לטופס 1'!$G$24&gt;0,'נתונים לטופס 1'!G20, 0)</f>
        <v>32644</v>
      </c>
      <c r="J27" s="234"/>
      <c r="K27" s="118"/>
      <c r="L27" s="123"/>
      <c r="M27" s="108"/>
      <c r="N27" s="94"/>
    </row>
    <row r="28" spans="1:14" s="95" customFormat="1">
      <c r="A28" s="103"/>
      <c r="B28" s="119" t="str">
        <f>'נתונים לטופס 1'!A59</f>
        <v>שינויים ביתרה לתחילת השנה</v>
      </c>
      <c r="C28" s="116"/>
      <c r="D28" s="116"/>
      <c r="E28" s="111"/>
      <c r="F28" s="132" t="s">
        <v>1517</v>
      </c>
      <c r="G28" s="124">
        <f>IF('נתונים לטופס 1'!$D$24&gt;0,'נתונים לטופס 1'!D21, 0)</f>
        <v>-21361</v>
      </c>
      <c r="H28" s="120"/>
      <c r="I28" s="121">
        <f>IF('נתונים לטופס 1'!$G$24&gt;0,'נתונים לטופס 1'!G21, 0)</f>
        <v>-20000</v>
      </c>
      <c r="J28" s="234"/>
      <c r="K28" s="118"/>
      <c r="L28" s="123"/>
      <c r="M28" s="108"/>
      <c r="N28" s="94"/>
    </row>
    <row r="29" spans="1:14" s="95" customFormat="1">
      <c r="A29" s="103"/>
      <c r="B29" s="119" t="str">
        <f>IF(OR(AND(I29&gt;0,G29&gt;0),AND(I29&gt;0,G29=0),AND(I29=0,G29&gt;0)),'נתונים לטופס 1'!A49,IF(OR(AND(I29&lt;0,G29&lt;0),AND(I29&lt;0,G29=0),AND(I29=0,G29&lt;0)),'נתונים לטופס 1'!A50,IF(I29&gt;0,'נתונים לטופס 1'!A54,'נתונים לטופס 1'!A53)))</f>
        <v>עודף בשנת הדוח</v>
      </c>
      <c r="C29" s="116"/>
      <c r="D29" s="116"/>
      <c r="E29" s="111"/>
      <c r="F29" s="132" t="s">
        <v>1213</v>
      </c>
      <c r="G29" s="124">
        <f>IF('נתונים לטופס 1'!$D$24&gt;0,'נתונים לטופס 1'!D22, 0)</f>
        <v>17517</v>
      </c>
      <c r="H29" s="120"/>
      <c r="I29" s="124">
        <f>IF('נתונים לטופס 1'!$G$24&gt;0,'נתונים לטופס 1'!G22, 0)</f>
        <v>10642</v>
      </c>
      <c r="J29" s="234"/>
      <c r="K29" s="118"/>
      <c r="L29" s="123"/>
      <c r="M29" s="108"/>
      <c r="N29" s="94"/>
    </row>
    <row r="30" spans="1:14" s="95" customFormat="1">
      <c r="A30" s="103"/>
      <c r="B30" s="119" t="s">
        <v>386</v>
      </c>
      <c r="C30" s="116"/>
      <c r="D30" s="116"/>
      <c r="E30" s="111"/>
      <c r="F30" s="132" t="s">
        <v>350</v>
      </c>
      <c r="G30" s="124">
        <f>IF('נתונים לטופס 1'!$D$24&gt;0,'נתונים לטופס 1'!D23, 0)</f>
        <v>0</v>
      </c>
      <c r="H30" s="120"/>
      <c r="I30" s="140">
        <f>IF('נתונים לטופס 1'!$G$24&gt;0,'נתונים לטופס 1'!G23, 0)</f>
        <v>0</v>
      </c>
      <c r="J30" s="234"/>
      <c r="K30" s="118"/>
      <c r="L30" s="123"/>
      <c r="M30" s="108"/>
      <c r="N30" s="94"/>
    </row>
    <row r="31" spans="1:14" s="95" customFormat="1">
      <c r="A31" s="103"/>
      <c r="B31" s="119" t="s">
        <v>387</v>
      </c>
      <c r="C31" s="116"/>
      <c r="D31" s="116"/>
      <c r="E31" s="111"/>
      <c r="F31" s="132" t="s">
        <v>350</v>
      </c>
      <c r="G31" s="141">
        <f>IF('נתונים לטופס 1'!$D$24&gt;0,'נתונים לטופס 1'!D24, 0)</f>
        <v>19442</v>
      </c>
      <c r="H31" s="120"/>
      <c r="I31" s="141">
        <f>IF('נתונים לטופס 1'!$G$24&gt;0,'נתונים לטופס 1'!G24, 0)</f>
        <v>23286</v>
      </c>
      <c r="J31" s="234"/>
      <c r="K31" s="118"/>
      <c r="L31" s="123"/>
      <c r="M31" s="108"/>
      <c r="N31" s="94"/>
    </row>
    <row r="32" spans="1:14" s="95" customFormat="1">
      <c r="A32" s="103"/>
      <c r="B32" s="119"/>
      <c r="C32" s="116"/>
      <c r="D32" s="116"/>
      <c r="E32" s="111"/>
      <c r="F32" s="134"/>
      <c r="G32" s="122"/>
      <c r="H32" s="120"/>
      <c r="I32" s="122"/>
      <c r="J32" s="117"/>
      <c r="K32" s="118"/>
      <c r="L32" s="123"/>
      <c r="M32" s="108"/>
      <c r="N32" s="94"/>
    </row>
    <row r="33" spans="1:14" s="95" customFormat="1">
      <c r="A33" s="103"/>
      <c r="B33" s="3001" t="s">
        <v>350</v>
      </c>
      <c r="C33" s="131"/>
      <c r="D33" s="116"/>
      <c r="E33" s="111"/>
      <c r="F33" s="132" t="s">
        <v>350</v>
      </c>
      <c r="G33" s="133"/>
      <c r="H33" s="125"/>
      <c r="I33" s="133"/>
      <c r="J33" s="234"/>
      <c r="K33" s="118"/>
      <c r="L33" s="123"/>
      <c r="M33" s="108"/>
      <c r="N33" s="94"/>
    </row>
    <row r="34" spans="1:14" s="95" customFormat="1">
      <c r="A34" s="103"/>
      <c r="B34" s="142"/>
      <c r="C34" s="111"/>
      <c r="D34" s="111"/>
      <c r="E34" s="111"/>
      <c r="F34" s="134"/>
      <c r="G34" s="122"/>
      <c r="H34" s="120"/>
      <c r="I34" s="122"/>
      <c r="J34" s="117"/>
      <c r="K34" s="118"/>
      <c r="L34" s="123"/>
      <c r="M34" s="108"/>
      <c r="N34" s="94"/>
    </row>
    <row r="35" spans="1:14" s="95" customFormat="1">
      <c r="A35" s="103"/>
      <c r="B35" s="142"/>
      <c r="C35" s="111"/>
      <c r="D35" s="111"/>
      <c r="E35" s="111"/>
      <c r="F35" s="134"/>
      <c r="G35" s="122"/>
      <c r="H35" s="120"/>
      <c r="I35" s="122"/>
      <c r="J35" s="117"/>
      <c r="K35" s="118"/>
      <c r="L35" s="123"/>
      <c r="M35" s="108"/>
      <c r="N35" s="94"/>
    </row>
    <row r="36" spans="1:14" s="95" customFormat="1" ht="15.6" thickBot="1">
      <c r="A36" s="103"/>
      <c r="B36" s="142" t="s">
        <v>360</v>
      </c>
      <c r="C36" s="111"/>
      <c r="D36" s="111" t="s">
        <v>360</v>
      </c>
      <c r="E36" s="111"/>
      <c r="F36" s="134"/>
      <c r="G36" s="143">
        <f>G12+G14+G19+G21+G23+G24+G31+G33</f>
        <v>882280</v>
      </c>
      <c r="H36" s="144" t="s">
        <v>360</v>
      </c>
      <c r="I36" s="143">
        <f>I12+I14+I19+I21+I23+I24+I31+I33</f>
        <v>735673</v>
      </c>
      <c r="J36" s="234"/>
      <c r="K36" s="118"/>
      <c r="L36" s="123"/>
      <c r="M36" s="108"/>
      <c r="N36" s="94"/>
    </row>
    <row r="37" spans="1:14" s="95" customFormat="1" ht="23.25" customHeight="1" thickTop="1">
      <c r="A37" s="103"/>
      <c r="B37" s="2595" t="s">
        <v>350</v>
      </c>
      <c r="C37" s="111"/>
      <c r="D37" s="111"/>
      <c r="E37" s="111"/>
      <c r="F37" s="125"/>
      <c r="G37" s="125"/>
      <c r="H37" s="144"/>
      <c r="I37" s="125"/>
      <c r="J37" s="125"/>
      <c r="K37" s="118"/>
      <c r="L37" s="123"/>
      <c r="M37" s="108"/>
      <c r="N37" s="94"/>
    </row>
    <row r="38" spans="1:14" s="95" customFormat="1">
      <c r="A38" s="103"/>
      <c r="B38" s="142" t="s">
        <v>388</v>
      </c>
      <c r="C38" s="3373" t="s">
        <v>2463</v>
      </c>
      <c r="D38" s="3374"/>
      <c r="E38" s="3374"/>
      <c r="F38" s="3374"/>
      <c r="G38" s="2873"/>
      <c r="H38" s="144"/>
      <c r="I38" s="227"/>
      <c r="J38" s="117"/>
      <c r="K38" s="145"/>
      <c r="L38" s="123"/>
      <c r="M38" s="108"/>
      <c r="N38" s="94"/>
    </row>
    <row r="39" spans="1:14" s="95" customFormat="1">
      <c r="A39" s="103"/>
      <c r="B39" s="142" t="s">
        <v>389</v>
      </c>
      <c r="C39" s="3373" t="s">
        <v>2464</v>
      </c>
      <c r="D39" s="3374"/>
      <c r="E39" s="3374"/>
      <c r="F39" s="3374"/>
      <c r="G39" s="2873"/>
      <c r="H39" s="144"/>
      <c r="I39" s="227"/>
      <c r="J39" s="117"/>
      <c r="K39" s="145"/>
      <c r="L39" s="123"/>
      <c r="M39" s="108"/>
      <c r="N39" s="94"/>
    </row>
    <row r="40" spans="1:14" s="95" customFormat="1">
      <c r="A40" s="103"/>
      <c r="B40" s="142" t="s">
        <v>390</v>
      </c>
      <c r="C40" s="3372" t="s">
        <v>2686</v>
      </c>
      <c r="D40" s="3350"/>
      <c r="E40" s="3350"/>
      <c r="F40" s="3350"/>
      <c r="G40" s="227"/>
      <c r="H40" s="120"/>
      <c r="I40" s="227"/>
      <c r="J40" s="117"/>
      <c r="K40" s="145"/>
      <c r="L40" s="146"/>
      <c r="M40" s="108"/>
      <c r="N40" s="94"/>
    </row>
    <row r="41" spans="1:14" s="95" customFormat="1">
      <c r="A41" s="103"/>
      <c r="B41" s="3378" t="s">
        <v>859</v>
      </c>
      <c r="C41" s="3379"/>
      <c r="D41" s="3379"/>
      <c r="E41" s="3379"/>
      <c r="F41" s="3379"/>
      <c r="G41" s="147"/>
      <c r="H41" s="148"/>
      <c r="I41" s="147"/>
      <c r="J41" s="147"/>
      <c r="K41" s="149"/>
      <c r="L41" s="146"/>
      <c r="M41" s="108"/>
      <c r="N41" s="94"/>
    </row>
    <row r="42" spans="1:14" s="95" customFormat="1" ht="15.6" thickBot="1">
      <c r="A42" s="150"/>
      <c r="B42" s="103"/>
      <c r="C42" s="103"/>
      <c r="D42" s="103"/>
      <c r="E42" s="103"/>
      <c r="F42" s="103"/>
      <c r="G42" s="103"/>
      <c r="H42" s="103"/>
      <c r="I42" s="103"/>
      <c r="J42" s="103"/>
      <c r="K42" s="146"/>
      <c r="L42" s="146"/>
      <c r="M42" s="108"/>
      <c r="N42" s="94"/>
    </row>
    <row r="43" spans="1:14" s="95" customFormat="1" ht="15.6" thickTop="1">
      <c r="B43" s="151"/>
      <c r="C43" s="151"/>
      <c r="D43" s="151"/>
      <c r="E43" s="151"/>
      <c r="F43" s="151"/>
      <c r="G43" s="151"/>
      <c r="H43" s="151"/>
      <c r="I43" s="151"/>
      <c r="J43" s="151"/>
      <c r="K43" s="152"/>
      <c r="L43" s="152"/>
      <c r="M43" s="153"/>
      <c r="N43" s="153"/>
    </row>
    <row r="44" spans="1:14" s="95" customFormat="1">
      <c r="K44" s="153"/>
      <c r="L44" s="153"/>
      <c r="M44" s="153"/>
      <c r="N44" s="153"/>
    </row>
    <row r="45" spans="1:14" s="95" customFormat="1">
      <c r="K45" s="153"/>
      <c r="L45" s="153"/>
      <c r="M45" s="153"/>
      <c r="N45" s="153"/>
    </row>
    <row r="46" spans="1:14" s="95" customFormat="1">
      <c r="K46" s="153"/>
      <c r="L46" s="153"/>
      <c r="M46" s="153"/>
      <c r="N46" s="153"/>
    </row>
    <row r="47" spans="1:14" s="95" customFormat="1">
      <c r="K47" s="153"/>
      <c r="L47" s="153"/>
      <c r="M47" s="153"/>
      <c r="N47" s="153"/>
    </row>
    <row r="48" spans="1:14" s="95" customFormat="1">
      <c r="K48" s="153"/>
      <c r="L48" s="153"/>
      <c r="M48" s="153"/>
      <c r="N48" s="153"/>
    </row>
    <row r="49" spans="11:14" s="95" customFormat="1">
      <c r="K49" s="153"/>
      <c r="L49" s="153"/>
      <c r="M49" s="153"/>
      <c r="N49" s="153"/>
    </row>
    <row r="50" spans="11:14" s="95" customFormat="1">
      <c r="K50" s="153"/>
      <c r="L50" s="153"/>
      <c r="M50" s="153"/>
      <c r="N50" s="153"/>
    </row>
    <row r="51" spans="11:14" s="95" customFormat="1">
      <c r="K51" s="153"/>
      <c r="L51" s="153"/>
      <c r="M51" s="153"/>
      <c r="N51" s="153"/>
    </row>
    <row r="52" spans="11:14" s="95" customFormat="1">
      <c r="K52" s="153"/>
      <c r="L52" s="153"/>
      <c r="M52" s="153"/>
      <c r="N52" s="153"/>
    </row>
    <row r="53" spans="11:14" s="95" customFormat="1">
      <c r="K53" s="153"/>
      <c r="L53" s="153"/>
      <c r="M53" s="153"/>
      <c r="N53" s="153"/>
    </row>
    <row r="54" spans="11:14" s="95" customFormat="1">
      <c r="K54" s="153"/>
      <c r="L54" s="153"/>
      <c r="M54" s="153"/>
      <c r="N54" s="153"/>
    </row>
    <row r="55" spans="11:14" s="95" customFormat="1">
      <c r="K55" s="153"/>
      <c r="L55" s="153"/>
      <c r="M55" s="153"/>
      <c r="N55" s="153"/>
    </row>
    <row r="56" spans="11:14" s="95" customFormat="1">
      <c r="K56" s="153"/>
      <c r="L56" s="153"/>
      <c r="M56" s="153"/>
      <c r="N56" s="153"/>
    </row>
    <row r="57" spans="11:14" s="95" customFormat="1">
      <c r="K57" s="153"/>
      <c r="L57" s="153"/>
      <c r="M57" s="153"/>
      <c r="N57" s="153"/>
    </row>
    <row r="58" spans="11:14" s="95" customFormat="1">
      <c r="K58" s="153"/>
      <c r="L58" s="153"/>
      <c r="M58" s="153"/>
      <c r="N58" s="153"/>
    </row>
    <row r="59" spans="11:14" s="95" customFormat="1">
      <c r="K59" s="153"/>
      <c r="L59" s="153"/>
      <c r="M59" s="153"/>
      <c r="N59" s="153"/>
    </row>
    <row r="60" spans="11:14" s="95" customFormat="1">
      <c r="K60" s="153"/>
      <c r="L60" s="153"/>
      <c r="M60" s="153"/>
      <c r="N60" s="153"/>
    </row>
    <row r="61" spans="11:14" s="95" customFormat="1">
      <c r="K61" s="153"/>
      <c r="L61" s="153"/>
      <c r="M61" s="153"/>
      <c r="N61" s="153"/>
    </row>
    <row r="62" spans="11:14" s="95" customFormat="1">
      <c r="K62" s="153"/>
      <c r="L62" s="153"/>
      <c r="M62" s="153"/>
      <c r="N62" s="153"/>
    </row>
    <row r="63" spans="11:14" s="95" customFormat="1">
      <c r="K63" s="153"/>
      <c r="L63" s="153"/>
      <c r="M63" s="153"/>
      <c r="N63" s="153"/>
    </row>
    <row r="64" spans="11:14" s="95" customFormat="1">
      <c r="K64" s="153"/>
      <c r="L64" s="153"/>
      <c r="M64" s="153"/>
      <c r="N64" s="153"/>
    </row>
    <row r="65" spans="11:14" s="95" customFormat="1">
      <c r="K65" s="153"/>
      <c r="L65" s="153"/>
      <c r="M65" s="153"/>
      <c r="N65" s="153"/>
    </row>
    <row r="66" spans="11:14" s="95" customFormat="1">
      <c r="K66" s="153"/>
      <c r="L66" s="153"/>
      <c r="M66" s="153"/>
      <c r="N66" s="153"/>
    </row>
    <row r="67" spans="11:14" s="95" customFormat="1">
      <c r="K67" s="153"/>
      <c r="L67" s="153"/>
      <c r="M67" s="153"/>
      <c r="N67" s="153"/>
    </row>
    <row r="68" spans="11:14" s="95" customFormat="1">
      <c r="K68" s="153"/>
      <c r="L68" s="153"/>
      <c r="M68" s="153"/>
      <c r="N68" s="153"/>
    </row>
    <row r="69" spans="11:14" s="95" customFormat="1">
      <c r="K69" s="153"/>
      <c r="L69" s="153"/>
      <c r="M69" s="153"/>
      <c r="N69" s="153"/>
    </row>
    <row r="70" spans="11:14" s="95" customFormat="1">
      <c r="K70" s="153"/>
      <c r="L70" s="153"/>
      <c r="M70" s="153"/>
      <c r="N70" s="153"/>
    </row>
    <row r="71" spans="11:14" s="95" customFormat="1">
      <c r="K71" s="153"/>
      <c r="L71" s="153"/>
      <c r="M71" s="153"/>
      <c r="N71" s="153"/>
    </row>
    <row r="72" spans="11:14" s="95" customFormat="1">
      <c r="K72" s="153"/>
      <c r="L72" s="153"/>
      <c r="M72" s="153"/>
      <c r="N72" s="153"/>
    </row>
    <row r="73" spans="11:14" s="95" customFormat="1">
      <c r="K73" s="153"/>
      <c r="L73" s="153"/>
      <c r="M73" s="153"/>
      <c r="N73" s="153"/>
    </row>
    <row r="74" spans="11:14" s="95" customFormat="1">
      <c r="K74" s="153"/>
      <c r="L74" s="153"/>
      <c r="M74" s="153"/>
      <c r="N74" s="153"/>
    </row>
    <row r="75" spans="11:14" s="95" customFormat="1">
      <c r="K75" s="153"/>
      <c r="L75" s="153"/>
      <c r="M75" s="153"/>
      <c r="N75" s="153"/>
    </row>
    <row r="76" spans="11:14" s="95" customFormat="1">
      <c r="K76" s="153"/>
      <c r="L76" s="153"/>
      <c r="M76" s="153"/>
      <c r="N76" s="153"/>
    </row>
    <row r="77" spans="11:14" s="95" customFormat="1">
      <c r="K77" s="153"/>
      <c r="L77" s="153"/>
      <c r="M77" s="153"/>
      <c r="N77" s="153"/>
    </row>
    <row r="78" spans="11:14" s="95" customFormat="1">
      <c r="K78" s="153"/>
      <c r="L78" s="153"/>
      <c r="M78" s="153"/>
      <c r="N78" s="153"/>
    </row>
    <row r="79" spans="11:14" s="95" customFormat="1">
      <c r="K79" s="153"/>
      <c r="L79" s="153"/>
      <c r="M79" s="153"/>
      <c r="N79" s="153"/>
    </row>
    <row r="80" spans="11:14" s="95" customFormat="1">
      <c r="K80" s="153"/>
      <c r="L80" s="153"/>
      <c r="M80" s="153"/>
      <c r="N80" s="153"/>
    </row>
    <row r="81" spans="11:14" s="95" customFormat="1">
      <c r="K81" s="153"/>
      <c r="L81" s="153"/>
      <c r="M81" s="153"/>
      <c r="N81" s="153"/>
    </row>
    <row r="82" spans="11:14" s="95" customFormat="1">
      <c r="K82" s="153"/>
      <c r="L82" s="153"/>
      <c r="M82" s="153"/>
      <c r="N82" s="153"/>
    </row>
    <row r="83" spans="11:14" s="95" customFormat="1">
      <c r="K83" s="153"/>
      <c r="L83" s="153"/>
      <c r="M83" s="153"/>
      <c r="N83" s="153"/>
    </row>
    <row r="84" spans="11:14" s="95" customFormat="1">
      <c r="K84" s="153"/>
      <c r="L84" s="153"/>
      <c r="M84" s="153"/>
      <c r="N84" s="153"/>
    </row>
    <row r="85" spans="11:14" s="95" customFormat="1">
      <c r="K85" s="153"/>
      <c r="L85" s="153"/>
      <c r="M85" s="153"/>
      <c r="N85" s="153"/>
    </row>
    <row r="86" spans="11:14" s="95" customFormat="1">
      <c r="K86" s="153"/>
      <c r="L86" s="153"/>
      <c r="M86" s="153"/>
      <c r="N86" s="153"/>
    </row>
    <row r="87" spans="11:14" s="95" customFormat="1">
      <c r="K87" s="153"/>
      <c r="L87" s="153"/>
      <c r="M87" s="153"/>
      <c r="N87" s="153"/>
    </row>
    <row r="88" spans="11:14" s="95" customFormat="1">
      <c r="K88" s="153"/>
      <c r="L88" s="153"/>
      <c r="M88" s="153"/>
      <c r="N88" s="153"/>
    </row>
    <row r="89" spans="11:14" s="95" customFormat="1">
      <c r="K89" s="153"/>
      <c r="L89" s="153"/>
      <c r="M89" s="153"/>
      <c r="N89" s="153"/>
    </row>
    <row r="90" spans="11:14" s="95" customFormat="1">
      <c r="K90" s="153"/>
      <c r="L90" s="153"/>
      <c r="M90" s="153"/>
      <c r="N90" s="153"/>
    </row>
    <row r="91" spans="11:14" s="95" customFormat="1">
      <c r="K91" s="153"/>
      <c r="L91" s="153"/>
      <c r="M91" s="153"/>
      <c r="N91" s="153"/>
    </row>
    <row r="92" spans="11:14" s="95" customFormat="1">
      <c r="K92" s="153"/>
      <c r="L92" s="153"/>
      <c r="M92" s="153"/>
      <c r="N92" s="153"/>
    </row>
    <row r="93" spans="11:14" s="95" customFormat="1">
      <c r="K93" s="153"/>
      <c r="L93" s="153"/>
      <c r="M93" s="153"/>
      <c r="N93" s="153"/>
    </row>
    <row r="94" spans="11:14" s="95" customFormat="1">
      <c r="K94" s="153"/>
      <c r="L94" s="153"/>
      <c r="M94" s="153"/>
      <c r="N94" s="153"/>
    </row>
    <row r="95" spans="11:14" s="95" customFormat="1">
      <c r="K95" s="153"/>
      <c r="L95" s="153"/>
      <c r="M95" s="153"/>
      <c r="N95" s="153"/>
    </row>
    <row r="96" spans="11:14" s="95" customFormat="1">
      <c r="K96" s="153"/>
      <c r="L96" s="153"/>
      <c r="M96" s="153"/>
      <c r="N96" s="153"/>
    </row>
    <row r="97" spans="2:14" s="95" customFormat="1" ht="15.6">
      <c r="B97" s="3375" t="str">
        <f>D1</f>
        <v>עירית הרצליה</v>
      </c>
      <c r="C97" s="3376"/>
      <c r="D97" s="3376"/>
      <c r="E97" s="3376"/>
      <c r="F97" s="3376"/>
      <c r="G97" s="3376"/>
      <c r="H97" s="3376"/>
      <c r="I97" s="3376"/>
      <c r="J97" s="3376"/>
      <c r="K97" s="3376"/>
      <c r="L97" s="153"/>
      <c r="M97" s="153"/>
      <c r="N97" s="153"/>
    </row>
    <row r="98" spans="2:14" ht="15.6">
      <c r="B98" s="3377" t="str">
        <f>D2</f>
        <v>מאזן ליום 31 בדצמבר  2015</v>
      </c>
      <c r="C98" s="3376"/>
      <c r="D98" s="3376"/>
      <c r="E98" s="3376"/>
      <c r="F98" s="3376"/>
      <c r="G98" s="3376"/>
      <c r="H98" s="3376"/>
      <c r="I98" s="3376"/>
      <c r="J98" s="3376"/>
      <c r="K98" s="3376"/>
    </row>
    <row r="99" spans="2:14" ht="15.6">
      <c r="B99" s="3377" t="str">
        <f>D3</f>
        <v>(אלפי ש"ח)</v>
      </c>
      <c r="C99" s="3376"/>
      <c r="D99" s="3376"/>
      <c r="E99" s="3376"/>
      <c r="F99" s="3376"/>
      <c r="G99" s="3376"/>
      <c r="H99" s="3376"/>
      <c r="I99" s="3376"/>
      <c r="J99" s="3376"/>
      <c r="K99" s="3376"/>
    </row>
    <row r="100" spans="2:14" ht="24" customHeight="1">
      <c r="B100" s="3380"/>
      <c r="C100" s="3380"/>
      <c r="D100" s="3380"/>
      <c r="E100" s="3380"/>
      <c r="F100" s="3380"/>
      <c r="G100" s="3380"/>
      <c r="H100" s="3380"/>
      <c r="I100" s="3380"/>
      <c r="J100" s="3380"/>
      <c r="K100" s="157">
        <f t="shared" ref="K100:K130" si="0">K4</f>
        <v>0</v>
      </c>
    </row>
    <row r="101" spans="2:14" ht="15.6">
      <c r="B101" s="158" t="str">
        <f t="shared" ref="B101:J101" si="1">B5</f>
        <v>התחייבויות</v>
      </c>
      <c r="C101" s="159">
        <f t="shared" si="1"/>
        <v>0</v>
      </c>
      <c r="D101" s="158">
        <f t="shared" si="1"/>
        <v>0</v>
      </c>
      <c r="E101" s="158">
        <f t="shared" si="1"/>
        <v>0</v>
      </c>
      <c r="F101" s="158" t="str">
        <f t="shared" si="1"/>
        <v>ביאור</v>
      </c>
      <c r="G101" s="2911" t="str">
        <f t="shared" si="1"/>
        <v>31.12.2015</v>
      </c>
      <c r="H101" s="160">
        <f t="shared" si="1"/>
        <v>0</v>
      </c>
      <c r="I101" s="2911" t="str">
        <f t="shared" si="1"/>
        <v>31.12.2014</v>
      </c>
      <c r="J101" s="161">
        <f t="shared" si="1"/>
        <v>0</v>
      </c>
      <c r="K101" s="162">
        <f t="shared" si="0"/>
        <v>0</v>
      </c>
    </row>
    <row r="102" spans="2:14" ht="15.6">
      <c r="B102" s="163">
        <f t="shared" ref="B102:J102" si="2">B6</f>
        <v>0</v>
      </c>
      <c r="C102" s="77">
        <f t="shared" si="2"/>
        <v>0</v>
      </c>
      <c r="D102" s="77">
        <f t="shared" si="2"/>
        <v>0</v>
      </c>
      <c r="E102" s="77">
        <f t="shared" si="2"/>
        <v>0</v>
      </c>
      <c r="F102" s="77">
        <f t="shared" si="2"/>
        <v>0</v>
      </c>
      <c r="G102" s="77">
        <f t="shared" si="2"/>
        <v>0</v>
      </c>
      <c r="H102" s="77">
        <f t="shared" si="2"/>
        <v>0</v>
      </c>
      <c r="I102" s="77">
        <f t="shared" si="2"/>
        <v>0</v>
      </c>
      <c r="J102" s="164">
        <f t="shared" si="2"/>
        <v>0</v>
      </c>
      <c r="K102" s="164">
        <f t="shared" si="0"/>
        <v>0</v>
      </c>
    </row>
    <row r="103" spans="2:14">
      <c r="B103" s="165" t="str">
        <f>IF(AND(G108=0,I108=0),"",B7)</f>
        <v>התחייבויות שוטפות</v>
      </c>
      <c r="C103" s="163">
        <f t="shared" ref="C103:J103" si="3">C7</f>
        <v>0</v>
      </c>
      <c r="D103" s="163">
        <f t="shared" si="3"/>
        <v>0</v>
      </c>
      <c r="E103" s="163">
        <f t="shared" si="3"/>
        <v>0</v>
      </c>
      <c r="F103" s="163">
        <f t="shared" si="3"/>
        <v>0</v>
      </c>
      <c r="G103" s="77">
        <f t="shared" si="3"/>
        <v>0</v>
      </c>
      <c r="H103" s="77">
        <f t="shared" si="3"/>
        <v>0</v>
      </c>
      <c r="I103" s="77">
        <f t="shared" si="3"/>
        <v>0</v>
      </c>
      <c r="J103" s="166">
        <f t="shared" si="3"/>
        <v>0</v>
      </c>
      <c r="K103" s="79">
        <f t="shared" si="0"/>
        <v>0</v>
      </c>
    </row>
    <row r="104" spans="2:14">
      <c r="B104" s="163" t="str">
        <f>IF(AND($I8=0,$G8=0),0,$B8)</f>
        <v>משיכות יתר בבנקים</v>
      </c>
      <c r="C104" s="163">
        <f t="shared" ref="C104:E106" si="4">C8</f>
        <v>0</v>
      </c>
      <c r="D104" s="163">
        <f t="shared" si="4"/>
        <v>0</v>
      </c>
      <c r="E104" s="163">
        <f t="shared" si="4"/>
        <v>0</v>
      </c>
      <c r="F104" s="163" t="str">
        <f>IF(AND($I8=0,$G8=0),0,$F8)</f>
        <v>3 (ו)</v>
      </c>
      <c r="G104" s="76">
        <f t="shared" ref="G104:J130" si="5">G8</f>
        <v>8</v>
      </c>
      <c r="H104" s="79">
        <f t="shared" si="5"/>
        <v>0</v>
      </c>
      <c r="I104" s="76">
        <f t="shared" si="5"/>
        <v>41</v>
      </c>
      <c r="J104" s="166">
        <f t="shared" si="5"/>
        <v>0</v>
      </c>
      <c r="K104" s="79">
        <f t="shared" si="0"/>
        <v>0</v>
      </c>
    </row>
    <row r="105" spans="2:14">
      <c r="B105" s="163" t="str">
        <f>IF(AND($I9=0,$G9=0),0,$B9)</f>
        <v>הוצאות מתוקצבות שטרם שולמו</v>
      </c>
      <c r="C105" s="163">
        <f t="shared" si="4"/>
        <v>0</v>
      </c>
      <c r="D105" s="163" t="str">
        <f t="shared" si="4"/>
        <v xml:space="preserve"> </v>
      </c>
      <c r="E105" s="163">
        <f t="shared" si="4"/>
        <v>0</v>
      </c>
      <c r="F105" s="163" t="str">
        <f>IF(AND($I9=0,$G9=0),0,$F9)</f>
        <v>3 (ז)</v>
      </c>
      <c r="G105" s="76">
        <f t="shared" si="5"/>
        <v>224455</v>
      </c>
      <c r="H105" s="79">
        <f t="shared" si="5"/>
        <v>0</v>
      </c>
      <c r="I105" s="76">
        <f t="shared" si="5"/>
        <v>210991</v>
      </c>
      <c r="J105" s="166">
        <f t="shared" si="5"/>
        <v>0</v>
      </c>
      <c r="K105" s="79">
        <f t="shared" si="0"/>
        <v>0</v>
      </c>
    </row>
    <row r="106" spans="2:14">
      <c r="B106" s="163" t="str">
        <f>IF(AND($I10=0,$G10=0),0,$B10)</f>
        <v>תקבולים לא מתוקצבים - פקדונות והכנסות מראש</v>
      </c>
      <c r="C106" s="163">
        <f t="shared" si="4"/>
        <v>0</v>
      </c>
      <c r="D106" s="163">
        <f t="shared" si="4"/>
        <v>0</v>
      </c>
      <c r="E106" s="163">
        <f t="shared" si="4"/>
        <v>0</v>
      </c>
      <c r="F106" s="163" t="str">
        <f>IF(AND($I10=0,$G10=0),0,$F10)</f>
        <v>3 (ח)</v>
      </c>
      <c r="G106" s="76">
        <f t="shared" si="5"/>
        <v>10231</v>
      </c>
      <c r="H106" s="76">
        <f t="shared" si="5"/>
        <v>0</v>
      </c>
      <c r="I106" s="76">
        <f t="shared" si="5"/>
        <v>7416</v>
      </c>
      <c r="J106" s="166">
        <f t="shared" si="5"/>
        <v>0</v>
      </c>
      <c r="K106" s="79">
        <f t="shared" si="0"/>
        <v>0</v>
      </c>
    </row>
    <row r="107" spans="2:14">
      <c r="B107" s="3370" t="str">
        <f>IF(AND($B11&lt;&gt;"(***)",OR($G11&lt;&gt;0,$I11&lt;&gt;0)),$B11,"")</f>
        <v/>
      </c>
      <c r="C107" s="3371"/>
      <c r="D107" s="3371"/>
      <c r="E107" s="163">
        <f t="shared" ref="E107:E130" si="6">E11</f>
        <v>0</v>
      </c>
      <c r="F107" s="163" t="str">
        <f>IF(AND($F11&lt;&gt;"(***)",OR($G11&lt;&gt;0,$I11&lt;&gt;0)),$F11,"")</f>
        <v/>
      </c>
      <c r="G107" s="76">
        <f t="shared" si="5"/>
        <v>0</v>
      </c>
      <c r="H107" s="76">
        <f t="shared" si="5"/>
        <v>0</v>
      </c>
      <c r="I107" s="76">
        <f t="shared" si="5"/>
        <v>0</v>
      </c>
      <c r="J107" s="166">
        <f t="shared" si="5"/>
        <v>0</v>
      </c>
      <c r="K107" s="79">
        <f t="shared" si="0"/>
        <v>0</v>
      </c>
    </row>
    <row r="108" spans="2:14">
      <c r="B108" s="163" t="str">
        <f>IF(AND($I12=0,$G12=0),0,$B12)</f>
        <v>סה"כ התחייבויות שוטפות</v>
      </c>
      <c r="C108" s="163">
        <f t="shared" ref="C108:D113" si="7">C12</f>
        <v>0</v>
      </c>
      <c r="D108" s="163">
        <f t="shared" si="7"/>
        <v>0</v>
      </c>
      <c r="E108" s="163">
        <f t="shared" si="6"/>
        <v>0</v>
      </c>
      <c r="F108" s="163">
        <f>F12</f>
        <v>0</v>
      </c>
      <c r="G108" s="169">
        <f t="shared" si="5"/>
        <v>234694</v>
      </c>
      <c r="H108" s="76">
        <f t="shared" si="5"/>
        <v>0</v>
      </c>
      <c r="I108" s="169">
        <f t="shared" si="5"/>
        <v>218448</v>
      </c>
      <c r="J108" s="166">
        <f t="shared" si="5"/>
        <v>0</v>
      </c>
      <c r="K108" s="79">
        <f t="shared" si="0"/>
        <v>0</v>
      </c>
    </row>
    <row r="109" spans="2:14">
      <c r="B109" s="163">
        <f>B13</f>
        <v>0</v>
      </c>
      <c r="C109" s="163">
        <f t="shared" si="7"/>
        <v>0</v>
      </c>
      <c r="D109" s="163">
        <f t="shared" si="7"/>
        <v>0</v>
      </c>
      <c r="E109" s="163">
        <f t="shared" si="6"/>
        <v>0</v>
      </c>
      <c r="F109" s="163">
        <f>F13</f>
        <v>0</v>
      </c>
      <c r="G109" s="76">
        <f t="shared" si="5"/>
        <v>0</v>
      </c>
      <c r="H109" s="76">
        <f t="shared" si="5"/>
        <v>0</v>
      </c>
      <c r="I109" s="76">
        <f t="shared" si="5"/>
        <v>0</v>
      </c>
      <c r="J109" s="166">
        <f t="shared" si="5"/>
        <v>0</v>
      </c>
      <c r="K109" s="79">
        <f t="shared" si="0"/>
        <v>0</v>
      </c>
    </row>
    <row r="110" spans="2:14">
      <c r="B110" s="165" t="str">
        <f>IF(AND($B14&lt;&gt;"(***)",OR($G14&lt;&gt;0,$I14&lt;&gt;0)),$B14,"")</f>
        <v/>
      </c>
      <c r="C110" s="167">
        <f t="shared" si="7"/>
        <v>0</v>
      </c>
      <c r="D110" s="163">
        <f t="shared" si="7"/>
        <v>0</v>
      </c>
      <c r="E110" s="163">
        <f t="shared" si="6"/>
        <v>0</v>
      </c>
      <c r="F110" s="163" t="str">
        <f>IF(AND($F14&lt;&gt;"(***)",OR($G14&lt;&gt;0,$I14&lt;&gt;0)),$F14,"")</f>
        <v/>
      </c>
      <c r="G110" s="80">
        <f t="shared" si="5"/>
        <v>0</v>
      </c>
      <c r="H110" s="76">
        <f t="shared" si="5"/>
        <v>0</v>
      </c>
      <c r="I110" s="80">
        <f t="shared" si="5"/>
        <v>0</v>
      </c>
      <c r="J110" s="166">
        <f t="shared" si="5"/>
        <v>0</v>
      </c>
      <c r="K110" s="79">
        <f t="shared" si="0"/>
        <v>0</v>
      </c>
    </row>
    <row r="111" spans="2:14">
      <c r="B111" s="165" t="str">
        <f>IF(AND($I115=0,$G115=0),0,$B15)</f>
        <v>קרנות פיתוח ועודפים זמניים בתב"רים, נטו</v>
      </c>
      <c r="C111" s="163">
        <f t="shared" si="7"/>
        <v>0</v>
      </c>
      <c r="D111" s="163">
        <f t="shared" si="7"/>
        <v>0</v>
      </c>
      <c r="E111" s="163">
        <f t="shared" si="6"/>
        <v>0</v>
      </c>
      <c r="F111" s="163" t="str">
        <f>IF(AND($F15&lt;&gt;"(***)",OR($G15&lt;&gt;0,$I15&lt;&gt;0)),$F15,"")</f>
        <v/>
      </c>
      <c r="G111" s="79">
        <f t="shared" si="5"/>
        <v>0</v>
      </c>
      <c r="H111" s="76">
        <f t="shared" si="5"/>
        <v>0</v>
      </c>
      <c r="I111" s="79">
        <f t="shared" si="5"/>
        <v>0</v>
      </c>
      <c r="J111" s="166">
        <f t="shared" si="5"/>
        <v>0</v>
      </c>
      <c r="K111" s="79">
        <f t="shared" si="0"/>
        <v>0</v>
      </c>
    </row>
    <row r="112" spans="2:14">
      <c r="B112" s="163" t="str">
        <f>IF(AND($I16=0,$G16=0),0,$B16)</f>
        <v xml:space="preserve">קרן לעבודות פיתוח </v>
      </c>
      <c r="C112" s="163">
        <f t="shared" si="7"/>
        <v>0</v>
      </c>
      <c r="D112" s="163" t="str">
        <f t="shared" si="7"/>
        <v xml:space="preserve"> </v>
      </c>
      <c r="E112" s="163">
        <f t="shared" si="6"/>
        <v>0</v>
      </c>
      <c r="F112" s="163">
        <f>IF(AND($F16&lt;&gt;"(***)",OR($G16&lt;&gt;0,$I16&lt;&gt;0)),$F16,"")</f>
        <v>5</v>
      </c>
      <c r="G112" s="76">
        <f t="shared" si="5"/>
        <v>162229</v>
      </c>
      <c r="H112" s="79">
        <f t="shared" si="5"/>
        <v>0</v>
      </c>
      <c r="I112" s="76">
        <f t="shared" si="5"/>
        <v>177966</v>
      </c>
      <c r="J112" s="166">
        <f t="shared" si="5"/>
        <v>0</v>
      </c>
      <c r="K112" s="79">
        <f t="shared" si="0"/>
        <v>0</v>
      </c>
    </row>
    <row r="113" spans="2:11">
      <c r="B113" s="163" t="str">
        <f>IF(AND($I17=0,$G17=0),0,$B17)</f>
        <v>עודפים זמניים בתב"רים נטו</v>
      </c>
      <c r="C113" s="163">
        <f t="shared" si="7"/>
        <v>0</v>
      </c>
      <c r="D113" s="163">
        <f t="shared" si="7"/>
        <v>0</v>
      </c>
      <c r="E113" s="163">
        <f t="shared" si="6"/>
        <v>0</v>
      </c>
      <c r="F113" s="163" t="str">
        <f>IF(AND($I17=0,$G17=0),0,$F17)</f>
        <v>טופס 3</v>
      </c>
      <c r="G113" s="76">
        <f t="shared" si="5"/>
        <v>276122</v>
      </c>
      <c r="H113" s="79">
        <f t="shared" si="5"/>
        <v>0</v>
      </c>
      <c r="I113" s="76">
        <f t="shared" si="5"/>
        <v>126658</v>
      </c>
      <c r="J113" s="166">
        <f t="shared" si="5"/>
        <v>0</v>
      </c>
      <c r="K113" s="79">
        <f t="shared" si="0"/>
        <v>0</v>
      </c>
    </row>
    <row r="114" spans="2:11">
      <c r="B114" s="165" t="str">
        <f>IF(AND($B18&lt;&gt;"(***)",OR($G18&lt;&gt;0,$I18&lt;&gt;0)),$B18,"")</f>
        <v/>
      </c>
      <c r="C114" s="2761"/>
      <c r="D114" s="2761"/>
      <c r="E114" s="163">
        <f t="shared" si="6"/>
        <v>0</v>
      </c>
      <c r="F114" s="163" t="str">
        <f>IF(AND($F18&lt;&gt;"(***)",OR($G18&lt;&gt;0,$I18&lt;&gt;0)),$F18,"")</f>
        <v/>
      </c>
      <c r="G114" s="76">
        <f t="shared" si="5"/>
        <v>0</v>
      </c>
      <c r="H114" s="79">
        <f t="shared" si="5"/>
        <v>0</v>
      </c>
      <c r="I114" s="76">
        <f t="shared" si="5"/>
        <v>0</v>
      </c>
      <c r="J114" s="166">
        <f t="shared" si="5"/>
        <v>0</v>
      </c>
      <c r="K114" s="79">
        <f t="shared" si="0"/>
        <v>0</v>
      </c>
    </row>
    <row r="115" spans="2:11">
      <c r="B115" s="158">
        <f>IF(AND($I19=0,$G19=0),0,$B19)</f>
        <v>0</v>
      </c>
      <c r="C115" s="163">
        <f t="shared" ref="C115:D130" si="8">C19</f>
        <v>0</v>
      </c>
      <c r="D115" s="163">
        <f t="shared" si="8"/>
        <v>0</v>
      </c>
      <c r="E115" s="163">
        <f t="shared" si="6"/>
        <v>0</v>
      </c>
      <c r="F115" s="163">
        <f>IF(AND($F19&lt;&gt;"(***)",OR($G19&lt;&gt;0,$I19&lt;&gt;0)),$F19,"")</f>
        <v>0</v>
      </c>
      <c r="G115" s="169">
        <f t="shared" si="5"/>
        <v>438351</v>
      </c>
      <c r="H115" s="76">
        <f t="shared" si="5"/>
        <v>0</v>
      </c>
      <c r="I115" s="169">
        <f t="shared" si="5"/>
        <v>304624</v>
      </c>
      <c r="J115" s="166">
        <f t="shared" si="5"/>
        <v>0</v>
      </c>
      <c r="K115" s="79">
        <f t="shared" si="0"/>
        <v>0</v>
      </c>
    </row>
    <row r="116" spans="2:11">
      <c r="B116" s="158">
        <f>IF(AND($I20=0,$G20=0),0,$B20)</f>
        <v>0</v>
      </c>
      <c r="C116" s="163">
        <f t="shared" si="8"/>
        <v>0</v>
      </c>
      <c r="D116" s="163">
        <f t="shared" si="8"/>
        <v>0</v>
      </c>
      <c r="E116" s="163">
        <f t="shared" si="6"/>
        <v>0</v>
      </c>
      <c r="F116" s="163" t="str">
        <f>IF(AND($F20&lt;&gt;"(***)",OR($G20&lt;&gt;0,$I20&lt;&gt;0)),$F20,"")</f>
        <v/>
      </c>
      <c r="G116" s="79">
        <f t="shared" si="5"/>
        <v>0</v>
      </c>
      <c r="H116" s="76">
        <f t="shared" si="5"/>
        <v>0</v>
      </c>
      <c r="I116" s="79">
        <f t="shared" si="5"/>
        <v>0</v>
      </c>
      <c r="J116" s="166">
        <f t="shared" si="5"/>
        <v>0</v>
      </c>
      <c r="K116" s="79">
        <f t="shared" si="0"/>
        <v>0</v>
      </c>
    </row>
    <row r="117" spans="2:11">
      <c r="B117" s="165" t="str">
        <f>IF(AND($I21=0,$G21=0),0,$B21)</f>
        <v>קרנות בלתי מתוקצבות אחרות</v>
      </c>
      <c r="C117" s="167">
        <f t="shared" si="8"/>
        <v>0</v>
      </c>
      <c r="D117" s="163">
        <f t="shared" si="8"/>
        <v>0</v>
      </c>
      <c r="E117" s="163">
        <f t="shared" si="6"/>
        <v>0</v>
      </c>
      <c r="F117" s="163" t="str">
        <f>IF(AND($F21&lt;&gt;"(***)",OR($G21&lt;&gt;0,$I21&lt;&gt;0)),$F21,"")</f>
        <v>3 (ט)</v>
      </c>
      <c r="G117" s="80">
        <f t="shared" si="5"/>
        <v>8883</v>
      </c>
      <c r="H117" s="76">
        <f t="shared" si="5"/>
        <v>0</v>
      </c>
      <c r="I117" s="80">
        <f t="shared" si="5"/>
        <v>8570</v>
      </c>
      <c r="J117" s="166">
        <f t="shared" si="5"/>
        <v>0</v>
      </c>
      <c r="K117" s="79">
        <f t="shared" si="0"/>
        <v>0</v>
      </c>
    </row>
    <row r="118" spans="2:11">
      <c r="B118" s="158">
        <f>IF(AND($I22=0,$G22=0),0,$B22)</f>
        <v>0</v>
      </c>
      <c r="C118" s="167">
        <f t="shared" si="8"/>
        <v>0</v>
      </c>
      <c r="D118" s="163">
        <f t="shared" si="8"/>
        <v>0</v>
      </c>
      <c r="E118" s="163">
        <f t="shared" si="6"/>
        <v>0</v>
      </c>
      <c r="F118" s="163">
        <f>F22</f>
        <v>0</v>
      </c>
      <c r="G118" s="166">
        <f t="shared" si="5"/>
        <v>0</v>
      </c>
      <c r="H118" s="76">
        <f t="shared" si="5"/>
        <v>0</v>
      </c>
      <c r="I118" s="166">
        <f t="shared" si="5"/>
        <v>0</v>
      </c>
      <c r="J118" s="166">
        <f t="shared" si="5"/>
        <v>0</v>
      </c>
      <c r="K118" s="79">
        <f t="shared" si="0"/>
        <v>0</v>
      </c>
    </row>
    <row r="119" spans="2:11">
      <c r="B119" s="165" t="str">
        <f>IF(AND($I23=0,$G23=0),0,$B23)</f>
        <v>קרנות מתוקצבות</v>
      </c>
      <c r="C119" s="163">
        <f t="shared" si="8"/>
        <v>0</v>
      </c>
      <c r="D119" s="163" t="str">
        <f t="shared" si="8"/>
        <v xml:space="preserve"> </v>
      </c>
      <c r="E119" s="163">
        <f t="shared" si="6"/>
        <v>0</v>
      </c>
      <c r="F119" s="163" t="str">
        <f>IF(AND($I23=0,$G23=0),0,$F23)</f>
        <v>3 (י)</v>
      </c>
      <c r="G119" s="80">
        <f t="shared" si="5"/>
        <v>180910</v>
      </c>
      <c r="H119" s="76">
        <f t="shared" si="5"/>
        <v>0</v>
      </c>
      <c r="I119" s="80">
        <f t="shared" si="5"/>
        <v>180745</v>
      </c>
      <c r="J119" s="166">
        <f t="shared" si="5"/>
        <v>0</v>
      </c>
      <c r="K119" s="79">
        <f t="shared" si="0"/>
        <v>0</v>
      </c>
    </row>
    <row r="120" spans="2:11">
      <c r="B120" s="163" t="str">
        <f>IF(AND($B24&lt;&gt;"(***)",OR($G24&lt;&gt;0,$I24&lt;&gt;0)),$B24,"")</f>
        <v/>
      </c>
      <c r="C120" s="167">
        <f t="shared" si="8"/>
        <v>0</v>
      </c>
      <c r="D120" s="163">
        <f t="shared" si="8"/>
        <v>0</v>
      </c>
      <c r="E120" s="163">
        <f t="shared" si="6"/>
        <v>0</v>
      </c>
      <c r="F120" s="163" t="str">
        <f>IF(AND($F24&lt;&gt;"(***)",OR($G24&lt;&gt;0,$I24&lt;&gt;0)),$F24,"")</f>
        <v/>
      </c>
      <c r="G120" s="80">
        <f t="shared" si="5"/>
        <v>0</v>
      </c>
      <c r="H120" s="76">
        <f t="shared" si="5"/>
        <v>0</v>
      </c>
      <c r="I120" s="80">
        <f t="shared" si="5"/>
        <v>0</v>
      </c>
      <c r="J120" s="166">
        <f t="shared" si="5"/>
        <v>0</v>
      </c>
      <c r="K120" s="79">
        <f t="shared" si="0"/>
        <v>0</v>
      </c>
    </row>
    <row r="121" spans="2:11">
      <c r="B121" s="163">
        <f>B25</f>
        <v>0</v>
      </c>
      <c r="C121" s="167">
        <f t="shared" si="8"/>
        <v>0</v>
      </c>
      <c r="D121" s="163">
        <f t="shared" si="8"/>
        <v>0</v>
      </c>
      <c r="E121" s="163">
        <f t="shared" si="6"/>
        <v>0</v>
      </c>
      <c r="F121" s="163">
        <f>F25</f>
        <v>0</v>
      </c>
      <c r="G121" s="79">
        <f t="shared" si="5"/>
        <v>0</v>
      </c>
      <c r="H121" s="76">
        <f t="shared" si="5"/>
        <v>0</v>
      </c>
      <c r="I121" s="79">
        <f t="shared" si="5"/>
        <v>0</v>
      </c>
      <c r="J121" s="166">
        <f t="shared" si="5"/>
        <v>0</v>
      </c>
      <c r="K121" s="79">
        <f t="shared" si="0"/>
        <v>0</v>
      </c>
    </row>
    <row r="122" spans="2:11">
      <c r="B122" s="165" t="str">
        <f>IF(OR(G123&lt;&gt;0,I123&lt;&gt;0,G124&lt;&gt;0,I124&lt;&gt;0,G125&lt;&gt;0,I125&lt;&gt;0,G126&lt;&gt;0,I126&lt;&gt;0),B26,0)</f>
        <v>עודפים בתקציב רגיל</v>
      </c>
      <c r="C122" s="163">
        <f t="shared" si="8"/>
        <v>0</v>
      </c>
      <c r="D122" s="163">
        <f t="shared" si="8"/>
        <v>0</v>
      </c>
      <c r="E122" s="163">
        <f t="shared" si="6"/>
        <v>0</v>
      </c>
      <c r="F122" s="163">
        <f>F26</f>
        <v>0</v>
      </c>
      <c r="G122" s="79">
        <f t="shared" si="5"/>
        <v>0</v>
      </c>
      <c r="H122" s="77">
        <f t="shared" si="5"/>
        <v>0</v>
      </c>
      <c r="I122" s="79">
        <f t="shared" si="5"/>
        <v>0</v>
      </c>
      <c r="J122" s="166">
        <f t="shared" si="5"/>
        <v>0</v>
      </c>
      <c r="K122" s="79">
        <f t="shared" si="0"/>
        <v>0</v>
      </c>
    </row>
    <row r="123" spans="2:11">
      <c r="B123" s="163" t="str">
        <f>IF(AND($I27=0,$G27=0),0,$B27)</f>
        <v>עודף לתחילת השנה</v>
      </c>
      <c r="C123" s="163">
        <f t="shared" si="8"/>
        <v>0</v>
      </c>
      <c r="D123" s="163">
        <f t="shared" si="8"/>
        <v>0</v>
      </c>
      <c r="E123" s="163">
        <f t="shared" si="6"/>
        <v>0</v>
      </c>
      <c r="F123" s="163" t="str">
        <f>IF(AND($F27&lt;&gt;"(***)",OR($G27&lt;&gt;0,$I27&lt;&gt;0)),$F27,"")</f>
        <v/>
      </c>
      <c r="G123" s="76">
        <f t="shared" si="5"/>
        <v>23286</v>
      </c>
      <c r="H123" s="77">
        <f t="shared" si="5"/>
        <v>0</v>
      </c>
      <c r="I123" s="76">
        <f t="shared" si="5"/>
        <v>32644</v>
      </c>
      <c r="J123" s="166">
        <f t="shared" si="5"/>
        <v>0</v>
      </c>
      <c r="K123" s="79">
        <f t="shared" si="0"/>
        <v>0</v>
      </c>
    </row>
    <row r="124" spans="2:11">
      <c r="B124" s="163" t="str">
        <f>IF(AND($I28=0,$G28=0),0,$B28)</f>
        <v>שינויים ביתרה לתחילת השנה</v>
      </c>
      <c r="C124" s="163">
        <f t="shared" si="8"/>
        <v>0</v>
      </c>
      <c r="D124" s="163">
        <f t="shared" si="8"/>
        <v>0</v>
      </c>
      <c r="E124" s="163">
        <f t="shared" si="6"/>
        <v>0</v>
      </c>
      <c r="F124" s="163" t="str">
        <f>IF(AND($F28&lt;&gt;"(***)",OR($G28&lt;&gt;0,$I28&lt;&gt;0)),$F28,"")</f>
        <v>3 (יא)</v>
      </c>
      <c r="G124" s="76">
        <f t="shared" si="5"/>
        <v>-21361</v>
      </c>
      <c r="H124" s="77">
        <f t="shared" si="5"/>
        <v>0</v>
      </c>
      <c r="I124" s="76">
        <f t="shared" si="5"/>
        <v>-20000</v>
      </c>
      <c r="J124" s="166">
        <f t="shared" si="5"/>
        <v>0</v>
      </c>
      <c r="K124" s="79">
        <f t="shared" si="0"/>
        <v>0</v>
      </c>
    </row>
    <row r="125" spans="2:11">
      <c r="B125" s="163" t="str">
        <f>IF(AND($I29=0,$G29=0),0,$B29)</f>
        <v>עודף בשנת הדוח</v>
      </c>
      <c r="C125" s="163">
        <f t="shared" si="8"/>
        <v>0</v>
      </c>
      <c r="D125" s="163">
        <f t="shared" si="8"/>
        <v>0</v>
      </c>
      <c r="E125" s="163">
        <f t="shared" si="6"/>
        <v>0</v>
      </c>
      <c r="F125" s="163" t="str">
        <f>IF(AND($F29&lt;&gt;"(***)",OR($G29&lt;&gt;0,$I29&lt;&gt;0)),$F29,"")</f>
        <v>טופס 2</v>
      </c>
      <c r="G125" s="76">
        <f t="shared" si="5"/>
        <v>17517</v>
      </c>
      <c r="H125" s="77">
        <f t="shared" si="5"/>
        <v>0</v>
      </c>
      <c r="I125" s="76">
        <f t="shared" si="5"/>
        <v>10642</v>
      </c>
      <c r="J125" s="166">
        <f t="shared" si="5"/>
        <v>0</v>
      </c>
      <c r="K125" s="79">
        <f t="shared" si="0"/>
        <v>0</v>
      </c>
    </row>
    <row r="126" spans="2:11">
      <c r="B126" s="163">
        <f>IF(AND($I30=0,$G30=0),0,$B30)</f>
        <v>0</v>
      </c>
      <c r="C126" s="163">
        <f t="shared" si="8"/>
        <v>0</v>
      </c>
      <c r="D126" s="163">
        <f t="shared" si="8"/>
        <v>0</v>
      </c>
      <c r="E126" s="163">
        <f t="shared" si="6"/>
        <v>0</v>
      </c>
      <c r="F126" s="163" t="str">
        <f>IF(AND($F30&lt;&gt;"(***)",OR($G30&lt;&gt;0,$I30&lt;&gt;0)),$F30,"")</f>
        <v/>
      </c>
      <c r="G126" s="76">
        <f t="shared" si="5"/>
        <v>0</v>
      </c>
      <c r="H126" s="77">
        <f t="shared" si="5"/>
        <v>0</v>
      </c>
      <c r="I126" s="76">
        <f t="shared" si="5"/>
        <v>0</v>
      </c>
      <c r="J126" s="166">
        <f t="shared" si="5"/>
        <v>0</v>
      </c>
      <c r="K126" s="79">
        <f t="shared" si="0"/>
        <v>0</v>
      </c>
    </row>
    <row r="127" spans="2:11">
      <c r="B127" s="163" t="str">
        <f>IF(AND($I31=0,$G31=0),0,$B31)</f>
        <v>עודף מצטבר בתקציב הרגיל לסוף השנה</v>
      </c>
      <c r="C127" s="163">
        <f t="shared" si="8"/>
        <v>0</v>
      </c>
      <c r="D127" s="163">
        <f t="shared" si="8"/>
        <v>0</v>
      </c>
      <c r="E127" s="163">
        <f t="shared" si="6"/>
        <v>0</v>
      </c>
      <c r="F127" s="163" t="str">
        <f>IF(AND($F31&lt;&gt;"(***)",OR($G31&lt;&gt;0,$I31&lt;&gt;0)),$F31,"")</f>
        <v/>
      </c>
      <c r="G127" s="81">
        <f t="shared" si="5"/>
        <v>19442</v>
      </c>
      <c r="H127" s="77">
        <f t="shared" si="5"/>
        <v>0</v>
      </c>
      <c r="I127" s="81">
        <f t="shared" si="5"/>
        <v>23286</v>
      </c>
      <c r="J127" s="166">
        <f t="shared" si="5"/>
        <v>0</v>
      </c>
      <c r="K127" s="79">
        <f t="shared" si="0"/>
        <v>0</v>
      </c>
    </row>
    <row r="128" spans="2:11">
      <c r="B128" s="163">
        <f>B32</f>
        <v>0</v>
      </c>
      <c r="C128" s="163">
        <f t="shared" si="8"/>
        <v>0</v>
      </c>
      <c r="D128" s="163">
        <f t="shared" si="8"/>
        <v>0</v>
      </c>
      <c r="E128" s="163">
        <f t="shared" si="6"/>
        <v>0</v>
      </c>
      <c r="F128" s="163">
        <f>F32</f>
        <v>0</v>
      </c>
      <c r="G128" s="79">
        <f t="shared" si="5"/>
        <v>0</v>
      </c>
      <c r="H128" s="77">
        <f t="shared" si="5"/>
        <v>0</v>
      </c>
      <c r="I128" s="79">
        <f t="shared" si="5"/>
        <v>0</v>
      </c>
      <c r="J128" s="166">
        <f t="shared" si="5"/>
        <v>0</v>
      </c>
      <c r="K128" s="79">
        <f t="shared" si="0"/>
        <v>0</v>
      </c>
    </row>
    <row r="129" spans="2:11">
      <c r="B129" s="165" t="str">
        <f>IF(AND($B33&lt;&gt;"(***)",OR($G33&lt;&gt;0,$I33&lt;&gt;0)),$B33,"")</f>
        <v/>
      </c>
      <c r="C129" s="167">
        <f t="shared" si="8"/>
        <v>0</v>
      </c>
      <c r="D129" s="163">
        <f t="shared" si="8"/>
        <v>0</v>
      </c>
      <c r="E129" s="163">
        <f t="shared" si="6"/>
        <v>0</v>
      </c>
      <c r="F129" s="163" t="str">
        <f>IF(AND($F33&lt;&gt;"(***)",OR($G33&lt;&gt;0,$I33&lt;&gt;0)),$F33,"")</f>
        <v/>
      </c>
      <c r="G129" s="80">
        <f t="shared" si="5"/>
        <v>0</v>
      </c>
      <c r="H129" s="76">
        <f t="shared" si="5"/>
        <v>0</v>
      </c>
      <c r="I129" s="80">
        <f t="shared" si="5"/>
        <v>0</v>
      </c>
      <c r="J129" s="166">
        <f t="shared" si="5"/>
        <v>0</v>
      </c>
      <c r="K129" s="79">
        <f t="shared" si="0"/>
        <v>0</v>
      </c>
    </row>
    <row r="130" spans="2:11">
      <c r="B130" s="163">
        <f>B34</f>
        <v>0</v>
      </c>
      <c r="C130" s="163">
        <f t="shared" si="8"/>
        <v>0</v>
      </c>
      <c r="D130" s="163">
        <f t="shared" si="8"/>
        <v>0</v>
      </c>
      <c r="E130" s="163">
        <f t="shared" si="6"/>
        <v>0</v>
      </c>
      <c r="F130" s="163">
        <f>F34</f>
        <v>0</v>
      </c>
      <c r="G130" s="79">
        <f t="shared" si="5"/>
        <v>0</v>
      </c>
      <c r="H130" s="77">
        <f t="shared" si="5"/>
        <v>0</v>
      </c>
      <c r="I130" s="79">
        <f t="shared" si="5"/>
        <v>0</v>
      </c>
      <c r="J130" s="166">
        <f t="shared" si="5"/>
        <v>0</v>
      </c>
      <c r="K130" s="79">
        <f t="shared" si="0"/>
        <v>0</v>
      </c>
    </row>
    <row r="131" spans="2:11">
      <c r="B131" s="163"/>
      <c r="C131" s="163"/>
      <c r="D131" s="163"/>
      <c r="E131" s="163"/>
      <c r="F131" s="163"/>
      <c r="G131" s="79"/>
      <c r="H131" s="77"/>
      <c r="I131" s="79"/>
      <c r="J131" s="166"/>
      <c r="K131" s="79"/>
    </row>
    <row r="132" spans="2:11">
      <c r="B132" s="163"/>
      <c r="C132" s="163"/>
      <c r="D132" s="163"/>
      <c r="E132" s="163"/>
      <c r="F132" s="163"/>
      <c r="G132" s="79"/>
      <c r="H132" s="77"/>
      <c r="I132" s="79"/>
      <c r="J132" s="166"/>
      <c r="K132" s="79"/>
    </row>
    <row r="133" spans="2:11">
      <c r="B133" s="163"/>
      <c r="C133" s="163"/>
      <c r="D133" s="163"/>
      <c r="E133" s="163"/>
      <c r="F133" s="163"/>
      <c r="G133" s="79"/>
      <c r="H133" s="77"/>
      <c r="I133" s="79"/>
      <c r="J133" s="166"/>
      <c r="K133" s="79"/>
    </row>
    <row r="134" spans="2:11">
      <c r="B134" s="163"/>
      <c r="C134" s="163"/>
      <c r="D134" s="163"/>
      <c r="E134" s="163"/>
      <c r="F134" s="163"/>
      <c r="G134" s="79"/>
      <c r="H134" s="77"/>
      <c r="I134" s="79"/>
      <c r="J134" s="166"/>
      <c r="K134" s="79"/>
    </row>
    <row r="135" spans="2:11">
      <c r="B135" s="163"/>
      <c r="C135" s="163"/>
      <c r="D135" s="163"/>
      <c r="E135" s="163"/>
      <c r="F135" s="163"/>
      <c r="G135" s="79"/>
      <c r="H135" s="77"/>
      <c r="I135" s="79"/>
      <c r="J135" s="166"/>
      <c r="K135" s="79"/>
    </row>
    <row r="136" spans="2:11">
      <c r="B136" s="163">
        <f t="shared" ref="B136:K136" si="9">B35</f>
        <v>0</v>
      </c>
      <c r="C136" s="163">
        <f t="shared" si="9"/>
        <v>0</v>
      </c>
      <c r="D136" s="163">
        <f t="shared" si="9"/>
        <v>0</v>
      </c>
      <c r="E136" s="77">
        <f t="shared" si="9"/>
        <v>0</v>
      </c>
      <c r="F136" s="163">
        <f t="shared" si="9"/>
        <v>0</v>
      </c>
      <c r="G136" s="79">
        <f t="shared" si="9"/>
        <v>0</v>
      </c>
      <c r="H136" s="77">
        <f t="shared" si="9"/>
        <v>0</v>
      </c>
      <c r="I136" s="79">
        <f t="shared" si="9"/>
        <v>0</v>
      </c>
      <c r="J136" s="166">
        <f t="shared" si="9"/>
        <v>0</v>
      </c>
      <c r="K136" s="79">
        <f t="shared" si="9"/>
        <v>0</v>
      </c>
    </row>
    <row r="137" spans="2:11" ht="15.6" thickBot="1">
      <c r="B137" s="163" t="str">
        <f t="shared" ref="B137:K137" si="10">B36</f>
        <v xml:space="preserve"> </v>
      </c>
      <c r="C137" s="163">
        <f t="shared" si="10"/>
        <v>0</v>
      </c>
      <c r="D137" s="163" t="str">
        <f t="shared" si="10"/>
        <v xml:space="preserve"> </v>
      </c>
      <c r="E137" s="77">
        <f t="shared" si="10"/>
        <v>0</v>
      </c>
      <c r="F137" s="163">
        <f t="shared" si="10"/>
        <v>0</v>
      </c>
      <c r="G137" s="83">
        <f t="shared" si="10"/>
        <v>882280</v>
      </c>
      <c r="H137" s="84" t="str">
        <f t="shared" si="10"/>
        <v xml:space="preserve"> </v>
      </c>
      <c r="I137" s="83">
        <f t="shared" si="10"/>
        <v>735673</v>
      </c>
      <c r="J137" s="76">
        <f t="shared" si="10"/>
        <v>0</v>
      </c>
      <c r="K137" s="79">
        <f t="shared" si="10"/>
        <v>0</v>
      </c>
    </row>
    <row r="138" spans="2:11" ht="15.6" thickTop="1">
      <c r="B138" s="163">
        <f>IF($B$37&lt;&gt;"(***)",$B$37,0)</f>
        <v>0</v>
      </c>
      <c r="C138" s="163">
        <f t="shared" ref="C138:K138" si="11">C37</f>
        <v>0</v>
      </c>
      <c r="D138" s="163">
        <f t="shared" si="11"/>
        <v>0</v>
      </c>
      <c r="E138" s="77">
        <f t="shared" si="11"/>
        <v>0</v>
      </c>
      <c r="F138" s="163">
        <f t="shared" si="11"/>
        <v>0</v>
      </c>
      <c r="G138" s="76">
        <f t="shared" si="11"/>
        <v>0</v>
      </c>
      <c r="H138" s="84">
        <f t="shared" si="11"/>
        <v>0</v>
      </c>
      <c r="I138" s="76">
        <f t="shared" si="11"/>
        <v>0</v>
      </c>
      <c r="J138" s="76">
        <f t="shared" si="11"/>
        <v>0</v>
      </c>
      <c r="K138" s="79">
        <f t="shared" si="11"/>
        <v>0</v>
      </c>
    </row>
    <row r="139" spans="2:11">
      <c r="B139" s="163" t="str">
        <f t="shared" ref="B139:C141" si="12">B38</f>
        <v>ראש הרשות:</v>
      </c>
      <c r="C139" s="3370" t="str">
        <f t="shared" si="12"/>
        <v xml:space="preserve">משה פדלון </v>
      </c>
      <c r="D139" s="3371"/>
      <c r="E139" s="3371"/>
      <c r="F139" s="3371"/>
      <c r="G139" s="79">
        <f t="shared" ref="G139:K141" si="13">G38</f>
        <v>0</v>
      </c>
      <c r="H139" s="84">
        <f t="shared" si="13"/>
        <v>0</v>
      </c>
      <c r="I139" s="166">
        <f t="shared" si="13"/>
        <v>0</v>
      </c>
      <c r="J139" s="166">
        <f t="shared" si="13"/>
        <v>0</v>
      </c>
      <c r="K139" s="166">
        <f t="shared" si="13"/>
        <v>0</v>
      </c>
    </row>
    <row r="140" spans="2:11">
      <c r="B140" s="163" t="str">
        <f t="shared" si="12"/>
        <v>גזבר הרשות:</v>
      </c>
      <c r="C140" s="3370" t="str">
        <f t="shared" si="12"/>
        <v xml:space="preserve">גולן זריהן </v>
      </c>
      <c r="D140" s="3371"/>
      <c r="E140" s="3371"/>
      <c r="F140" s="3371"/>
      <c r="G140" s="79">
        <f t="shared" si="13"/>
        <v>0</v>
      </c>
      <c r="H140" s="84">
        <f t="shared" si="13"/>
        <v>0</v>
      </c>
      <c r="I140" s="166">
        <f t="shared" si="13"/>
        <v>0</v>
      </c>
      <c r="J140" s="166">
        <f t="shared" si="13"/>
        <v>0</v>
      </c>
      <c r="K140" s="166">
        <f t="shared" si="13"/>
        <v>0</v>
      </c>
    </row>
    <row r="141" spans="2:11">
      <c r="B141" s="163" t="str">
        <f t="shared" si="12"/>
        <v>תאריך אישור הדוחות:</v>
      </c>
      <c r="C141" s="3370" t="str">
        <f t="shared" si="12"/>
        <v>18 באוגוסט 2016</v>
      </c>
      <c r="D141" s="3371"/>
      <c r="E141" s="3371"/>
      <c r="F141" s="3371"/>
      <c r="G141" s="166">
        <f t="shared" si="13"/>
        <v>0</v>
      </c>
      <c r="H141" s="77">
        <f t="shared" si="13"/>
        <v>0</v>
      </c>
      <c r="I141" s="166">
        <f t="shared" si="13"/>
        <v>0</v>
      </c>
      <c r="J141" s="166">
        <f t="shared" si="13"/>
        <v>0</v>
      </c>
      <c r="K141" s="166">
        <f t="shared" si="13"/>
        <v>0</v>
      </c>
    </row>
    <row r="142" spans="2:11">
      <c r="B142" s="170"/>
      <c r="C142" s="171"/>
      <c r="D142" s="171"/>
      <c r="E142" s="171"/>
      <c r="F142" s="171"/>
      <c r="G142" s="171"/>
      <c r="H142" s="172"/>
      <c r="I142" s="171"/>
      <c r="J142" s="172"/>
      <c r="K142" s="173"/>
    </row>
    <row r="143" spans="2:11">
      <c r="B143" s="170" t="str">
        <f>B41</f>
        <v>הביאורים והפירוטים לדוחות הכספיים הינם חלק בלתי נפרד מהם</v>
      </c>
    </row>
  </sheetData>
  <sheetProtection password="83C1" sheet="1" objects="1" scenarios="1"/>
  <mergeCells count="16">
    <mergeCell ref="C141:F141"/>
    <mergeCell ref="C40:F40"/>
    <mergeCell ref="C38:F38"/>
    <mergeCell ref="C139:F139"/>
    <mergeCell ref="C140:F140"/>
    <mergeCell ref="C39:F39"/>
    <mergeCell ref="B97:K97"/>
    <mergeCell ref="B98:K98"/>
    <mergeCell ref="B99:K99"/>
    <mergeCell ref="B41:F41"/>
    <mergeCell ref="B100:J100"/>
    <mergeCell ref="D1:K1"/>
    <mergeCell ref="D2:K2"/>
    <mergeCell ref="D3:K3"/>
    <mergeCell ref="B18:D18"/>
    <mergeCell ref="B107:D107"/>
  </mergeCells>
  <phoneticPr fontId="4" type="noConversion"/>
  <conditionalFormatting sqref="C38:F40 B123:B127 C139:F141 F113 E11:E37 H27:I29 G112:J113 B16:C17 D5:D17 B5:C11 B110:B111 J5:J7 B27:D29 B103:B106 E101:E138 F101:J106 C123:D125 C101:D106 B101 G27:G30 G123:I125 B112:D113 E5:I10 F16:I17 B14 B114">
    <cfRule type="expression" dxfId="63" priority="1" stopIfTrue="1">
      <formula>$A$1=1</formula>
    </cfRule>
  </conditionalFormatting>
  <conditionalFormatting sqref="B100:J100 C4:J4">
    <cfRule type="expression" dxfId="62" priority="2" stopIfTrue="1">
      <formula>$A$1=1</formula>
    </cfRule>
  </conditionalFormatting>
  <conditionalFormatting sqref="C114:D114 F107:J107 H30:I30 G126:I126 F18:I18 B18 B107:D107 G114:I114 F114:F117 F11:I11">
    <cfRule type="expression" dxfId="61" priority="3" stopIfTrue="1">
      <formula>$A$1=1</formula>
    </cfRule>
  </conditionalFormatting>
  <conditionalFormatting sqref="B30:B40 J15 B15 G31:I40 B108:B109 F108:F112 J114:J141 I121:I122 I130:I141 B102 F118:F138 I109 J37:J40 B19:D26 C30:D37 C126:D138 B115:D122 F27:F37 G111 I111 H108:H111 J108:J111 G109 G121:G122 H115:H122 G116 I116 G118 I118 G130:G141 H127:H141 G128 I128 C108:D111 F12:I15 J13 J20 J22 J25:J26 J32 J34:J35 C12:C15 B12:B13 B128:B141 F19:I26">
    <cfRule type="expression" dxfId="60" priority="4" stopIfTrue="1">
      <formula>$A$1=1</formula>
    </cfRule>
  </conditionalFormatting>
  <conditionalFormatting sqref="G110 G119:G120 G108 I108 G115 I115 G117 I117 I110 I119:I120 I129 G129">
    <cfRule type="expression" dxfId="59" priority="5" stopIfTrue="1">
      <formula>AND($G108=0,$I108=0)</formula>
    </cfRule>
  </conditionalFormatting>
  <conditionalFormatting sqref="G127 I127">
    <cfRule type="expression" dxfId="58" priority="6" stopIfTrue="1">
      <formula>AND($G123=0,$I123=0,$G124=0,$I124=0,$G125=0,$I125=0,$G126=0,$I126=0)</formula>
    </cfRule>
  </conditionalFormatting>
  <hyperlinks>
    <hyperlink ref="A4" location="'תוכן הענינים'!A1" tooltip="לחץ להצגת גליון תוכן הענינים" display="הצג תוכן ענינים"/>
  </hyperlinks>
  <printOptions horizontalCentered="1"/>
  <pageMargins left="0" right="0" top="0.75" bottom="0.23622047244094499" header="0.25" footer="0.23622047244094499"/>
  <pageSetup paperSize="9" scale="96" orientation="portrait" blackAndWhite="1" horizontalDpi="300" verticalDpi="300" r:id="rId1"/>
  <headerFooter alignWithMargins="0">
    <oddHeader>&amp;L&amp;8&amp;A</oddHeader>
    <oddFooter>&amp;L &amp;C&amp;8 &amp;P</oddFooter>
  </headerFooter>
  <colBreaks count="1" manualBreakCount="1">
    <brk id="13" max="1048575" man="1"/>
  </colBreaks>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6"/>
  <dimension ref="A1:H49"/>
  <sheetViews>
    <sheetView showGridLines="0" showRowColHeaders="0" showZeros="0" rightToLeft="1" showOutlineSymbols="0" zoomScaleNormal="100" workbookViewId="0">
      <selection activeCell="B23" sqref="B23"/>
    </sheetView>
  </sheetViews>
  <sheetFormatPr defaultColWidth="9.109375" defaultRowHeight="13.2"/>
  <cols>
    <col min="1" max="1" width="0.6640625" style="2281" customWidth="1"/>
    <col min="2" max="2" width="16.33203125" style="2281" customWidth="1"/>
    <col min="3" max="3" width="54.33203125" style="2281" customWidth="1"/>
    <col min="4" max="4" width="69" style="2281" customWidth="1"/>
    <col min="5" max="5" width="19" style="2281" hidden="1" customWidth="1"/>
    <col min="6" max="6" width="26.33203125" style="2281" hidden="1" customWidth="1"/>
    <col min="7" max="7" width="4.44140625" style="2281" customWidth="1"/>
    <col min="8" max="16384" width="9.109375" style="2281"/>
  </cols>
  <sheetData>
    <row r="1" spans="1:8">
      <c r="A1" s="2544"/>
      <c r="B1" s="2386"/>
      <c r="C1" s="2386"/>
      <c r="D1" s="2386"/>
      <c r="E1" s="2545"/>
      <c r="F1" s="2545"/>
      <c r="G1" s="2546"/>
    </row>
    <row r="2" spans="1:8" ht="22.5" customHeight="1">
      <c r="A2" s="2386"/>
      <c r="B2" s="2386"/>
      <c r="C2" s="3041" t="s">
        <v>847</v>
      </c>
      <c r="D2" s="3764"/>
      <c r="E2" s="3764"/>
      <c r="F2" s="2547"/>
      <c r="G2" s="2548"/>
      <c r="H2" s="2549"/>
    </row>
    <row r="3" spans="1:8" ht="6" customHeight="1">
      <c r="A3" s="2386"/>
      <c r="B3" s="2547"/>
      <c r="C3" s="2547"/>
      <c r="D3" s="2547"/>
      <c r="E3" s="2547"/>
      <c r="F3" s="2545"/>
      <c r="G3" s="2546"/>
    </row>
    <row r="4" spans="1:8" ht="8.25" customHeight="1">
      <c r="A4" s="2283"/>
      <c r="B4" s="2550"/>
      <c r="C4" s="2551"/>
      <c r="D4" s="2552"/>
      <c r="E4" s="2551"/>
      <c r="F4" s="2278"/>
      <c r="G4" s="2280"/>
    </row>
    <row r="5" spans="1:8" ht="13.5" customHeight="1">
      <c r="A5" s="2283"/>
      <c r="B5" s="3037" t="s">
        <v>1465</v>
      </c>
      <c r="C5" s="3039" t="s">
        <v>1063</v>
      </c>
      <c r="D5" s="3040" t="s">
        <v>530</v>
      </c>
      <c r="E5" s="2553" t="s">
        <v>1465</v>
      </c>
      <c r="F5" s="2554" t="s">
        <v>1466</v>
      </c>
      <c r="G5" s="2280"/>
      <c r="H5" s="2555"/>
    </row>
    <row r="6" spans="1:8" ht="13.5" customHeight="1">
      <c r="A6" s="2283"/>
      <c r="B6" s="3033" t="s">
        <v>1150</v>
      </c>
      <c r="C6" s="3033" t="s">
        <v>685</v>
      </c>
      <c r="D6" s="2556" t="s">
        <v>868</v>
      </c>
      <c r="E6" s="3033" t="s">
        <v>1150</v>
      </c>
      <c r="F6" s="2556" t="s">
        <v>1468</v>
      </c>
      <c r="G6" s="2280"/>
    </row>
    <row r="7" spans="1:8" ht="13.5" customHeight="1">
      <c r="A7" s="2283"/>
      <c r="B7" s="3038" t="s">
        <v>682</v>
      </c>
      <c r="C7" s="2556" t="s">
        <v>348</v>
      </c>
      <c r="D7" s="3033" t="s">
        <v>79</v>
      </c>
      <c r="E7" s="3038" t="s">
        <v>682</v>
      </c>
      <c r="F7" s="2556" t="s">
        <v>1469</v>
      </c>
      <c r="G7" s="2280"/>
    </row>
    <row r="8" spans="1:8" ht="13.5" customHeight="1">
      <c r="A8" s="2283"/>
      <c r="B8" s="3033" t="s">
        <v>683</v>
      </c>
      <c r="C8" s="2556" t="s">
        <v>867</v>
      </c>
      <c r="D8" s="3033" t="s">
        <v>80</v>
      </c>
      <c r="E8" s="3033" t="s">
        <v>683</v>
      </c>
      <c r="F8" s="2556" t="s">
        <v>1470</v>
      </c>
      <c r="G8" s="2280"/>
    </row>
    <row r="9" spans="1:8" ht="13.5" customHeight="1">
      <c r="A9" s="2283"/>
      <c r="B9" s="3033" t="s">
        <v>684</v>
      </c>
      <c r="C9" s="3033" t="s">
        <v>1471</v>
      </c>
      <c r="D9" s="3033" t="s">
        <v>748</v>
      </c>
      <c r="E9" s="3033" t="s">
        <v>684</v>
      </c>
      <c r="F9" s="2556" t="s">
        <v>1472</v>
      </c>
      <c r="G9" s="2280"/>
    </row>
    <row r="10" spans="1:8" ht="13.5" customHeight="1">
      <c r="A10" s="2283"/>
      <c r="B10" s="3033" t="s">
        <v>1188</v>
      </c>
      <c r="C10" s="3033" t="s">
        <v>1473</v>
      </c>
      <c r="D10" s="3033" t="s">
        <v>747</v>
      </c>
      <c r="E10" s="3033" t="s">
        <v>1188</v>
      </c>
      <c r="F10" s="2556" t="s">
        <v>1475</v>
      </c>
      <c r="G10" s="2280"/>
    </row>
    <row r="11" spans="1:8" ht="13.5" customHeight="1">
      <c r="A11" s="2283"/>
      <c r="B11" s="3033" t="s">
        <v>1242</v>
      </c>
      <c r="C11" s="3033" t="s">
        <v>2197</v>
      </c>
      <c r="D11" s="3033" t="s">
        <v>749</v>
      </c>
      <c r="E11" s="3033" t="s">
        <v>1242</v>
      </c>
      <c r="F11" s="2556" t="s">
        <v>334</v>
      </c>
      <c r="G11" s="2280"/>
    </row>
    <row r="12" spans="1:8" ht="13.5" customHeight="1">
      <c r="A12" s="2283"/>
      <c r="B12" s="3033" t="s">
        <v>1243</v>
      </c>
      <c r="C12" s="3033" t="s">
        <v>686</v>
      </c>
      <c r="D12" s="3033" t="s">
        <v>744</v>
      </c>
      <c r="E12" s="3033" t="s">
        <v>1243</v>
      </c>
      <c r="F12" s="2557"/>
      <c r="G12" s="2280"/>
    </row>
    <row r="13" spans="1:8" ht="13.5" customHeight="1">
      <c r="A13" s="2283"/>
      <c r="B13" s="3033" t="s">
        <v>216</v>
      </c>
      <c r="C13" s="3275" t="s">
        <v>1476</v>
      </c>
      <c r="D13" s="3033" t="s">
        <v>90</v>
      </c>
      <c r="E13" s="3033" t="s">
        <v>216</v>
      </c>
      <c r="F13" s="2557"/>
      <c r="G13" s="2280"/>
    </row>
    <row r="14" spans="1:8" ht="13.5" customHeight="1">
      <c r="A14" s="2283"/>
      <c r="B14" s="2556"/>
      <c r="C14" s="3033" t="s">
        <v>687</v>
      </c>
      <c r="D14" s="3033" t="s">
        <v>88</v>
      </c>
      <c r="E14" s="2556"/>
      <c r="F14" s="2557"/>
      <c r="G14" s="2280"/>
    </row>
    <row r="15" spans="1:8" ht="13.5" customHeight="1">
      <c r="A15" s="2283"/>
      <c r="B15" s="2556"/>
      <c r="C15" s="3033" t="s">
        <v>688</v>
      </c>
      <c r="D15" s="3033" t="s">
        <v>81</v>
      </c>
      <c r="E15" s="2556"/>
      <c r="F15" s="2557"/>
      <c r="G15" s="2280"/>
    </row>
    <row r="16" spans="1:8" ht="13.5" customHeight="1">
      <c r="A16" s="2283"/>
      <c r="B16" s="2556"/>
      <c r="C16" s="3033" t="s">
        <v>84</v>
      </c>
      <c r="D16" s="3033" t="s">
        <v>745</v>
      </c>
      <c r="E16" s="2556"/>
      <c r="F16" s="2557"/>
      <c r="G16" s="2280"/>
    </row>
    <row r="17" spans="1:7" ht="13.5" customHeight="1">
      <c r="A17" s="2283"/>
      <c r="B17" s="2556"/>
      <c r="C17" s="3033" t="s">
        <v>85</v>
      </c>
      <c r="D17" s="3033" t="s">
        <v>746</v>
      </c>
      <c r="E17" s="2556"/>
      <c r="F17" s="2557"/>
      <c r="G17" s="2280"/>
    </row>
    <row r="18" spans="1:7" ht="12.75" customHeight="1">
      <c r="A18" s="2283"/>
      <c r="B18" s="2556"/>
      <c r="C18" s="3034" t="s">
        <v>743</v>
      </c>
      <c r="D18" s="3035" t="s">
        <v>86</v>
      </c>
      <c r="E18" s="3032" t="s">
        <v>757</v>
      </c>
      <c r="F18" s="2557"/>
      <c r="G18" s="2280"/>
    </row>
    <row r="19" spans="1:7" ht="13.5" customHeight="1">
      <c r="A19" s="2283"/>
      <c r="B19" s="2556"/>
      <c r="C19" s="3033" t="s">
        <v>751</v>
      </c>
      <c r="D19" s="3035" t="s">
        <v>89</v>
      </c>
      <c r="E19" s="3033" t="s">
        <v>1468</v>
      </c>
      <c r="F19" s="2557"/>
      <c r="G19" s="2280"/>
    </row>
    <row r="20" spans="1:7" ht="13.5" customHeight="1">
      <c r="A20" s="2283"/>
      <c r="B20" s="2556"/>
      <c r="C20" s="3033" t="s">
        <v>756</v>
      </c>
      <c r="D20" s="3035" t="s">
        <v>87</v>
      </c>
      <c r="E20" s="3033" t="s">
        <v>1469</v>
      </c>
      <c r="F20" s="2557"/>
      <c r="G20" s="2280"/>
    </row>
    <row r="21" spans="1:7" ht="13.5" customHeight="1">
      <c r="A21" s="2283"/>
      <c r="B21" s="2556"/>
      <c r="C21" s="3033" t="s">
        <v>754</v>
      </c>
      <c r="D21" s="3035"/>
      <c r="E21" s="3033" t="s">
        <v>334</v>
      </c>
      <c r="F21" s="2557"/>
      <c r="G21" s="2280"/>
    </row>
    <row r="22" spans="1:7" ht="13.5" customHeight="1">
      <c r="A22" s="2283"/>
      <c r="B22" s="3032" t="s">
        <v>1466</v>
      </c>
      <c r="C22" s="3033" t="s">
        <v>755</v>
      </c>
      <c r="D22" s="3032" t="s">
        <v>642</v>
      </c>
      <c r="E22" s="2556"/>
      <c r="F22" s="2557"/>
      <c r="G22" s="2280"/>
    </row>
    <row r="23" spans="1:7" ht="13.5" customHeight="1">
      <c r="A23" s="2283"/>
      <c r="B23" s="3035" t="s">
        <v>1468</v>
      </c>
      <c r="C23" s="3033" t="s">
        <v>750</v>
      </c>
      <c r="D23" s="3033" t="s">
        <v>652</v>
      </c>
      <c r="E23" s="2556"/>
      <c r="F23" s="2557"/>
      <c r="G23" s="2280"/>
    </row>
    <row r="24" spans="1:7" ht="13.5" customHeight="1">
      <c r="A24" s="2283"/>
      <c r="B24" s="3035" t="s">
        <v>151</v>
      </c>
      <c r="C24" s="3034" t="s">
        <v>742</v>
      </c>
      <c r="D24" s="2556" t="s">
        <v>870</v>
      </c>
      <c r="E24" s="2556"/>
      <c r="F24" s="2557"/>
      <c r="G24" s="2280"/>
    </row>
    <row r="25" spans="1:7" ht="12.75" customHeight="1">
      <c r="A25" s="2283"/>
      <c r="B25" s="3035" t="s">
        <v>83</v>
      </c>
      <c r="C25" s="3033"/>
      <c r="D25" s="3033" t="s">
        <v>653</v>
      </c>
      <c r="E25" s="2557"/>
      <c r="F25" s="2557"/>
      <c r="G25" s="2280"/>
    </row>
    <row r="26" spans="1:7" ht="13.5" customHeight="1">
      <c r="A26" s="2283"/>
      <c r="B26" s="3035" t="s">
        <v>82</v>
      </c>
      <c r="C26" s="3034"/>
      <c r="D26" s="3033" t="s">
        <v>654</v>
      </c>
      <c r="E26" s="2557"/>
      <c r="F26" s="2557"/>
      <c r="G26" s="2280"/>
    </row>
    <row r="27" spans="1:7" ht="13.5" customHeight="1">
      <c r="A27" s="2283"/>
      <c r="B27" s="2557"/>
      <c r="C27" s="3034"/>
      <c r="D27" s="3042" t="s">
        <v>869</v>
      </c>
      <c r="E27" s="2557"/>
      <c r="F27" s="2557"/>
      <c r="G27" s="2280"/>
    </row>
    <row r="28" spans="1:7" ht="13.5" customHeight="1">
      <c r="A28" s="2283"/>
      <c r="B28" s="2558"/>
      <c r="C28" s="2558"/>
      <c r="D28" s="3036"/>
      <c r="E28" s="2558"/>
      <c r="F28" s="2558"/>
      <c r="G28" s="2280"/>
    </row>
    <row r="29" spans="1:7" ht="6" customHeight="1">
      <c r="A29" s="2283"/>
      <c r="B29" s="2559"/>
      <c r="C29" s="2278"/>
      <c r="D29" s="2278"/>
      <c r="E29" s="2278"/>
      <c r="F29" s="2278"/>
      <c r="G29" s="2280"/>
    </row>
    <row r="30" spans="1:7" ht="18" customHeight="1" thickBot="1">
      <c r="A30" s="2271" t="s">
        <v>1147</v>
      </c>
      <c r="B30" s="2561"/>
      <c r="C30" s="2560"/>
      <c r="D30" s="2560"/>
      <c r="E30" s="2560"/>
      <c r="F30" s="2560"/>
      <c r="G30" s="2341"/>
    </row>
    <row r="31" spans="1:7" ht="18" customHeight="1" thickTop="1">
      <c r="B31" s="2562"/>
      <c r="C31" s="2563"/>
      <c r="D31" s="2563"/>
      <c r="E31" s="2563"/>
      <c r="F31" s="2563"/>
    </row>
    <row r="32" spans="1:7" ht="18" customHeight="1">
      <c r="B32" s="2562"/>
      <c r="C32" s="2563"/>
      <c r="D32" s="2563"/>
      <c r="E32" s="2563"/>
      <c r="F32" s="2563"/>
    </row>
    <row r="33" spans="2:6" ht="18" customHeight="1">
      <c r="B33" s="2562"/>
      <c r="C33" s="2563"/>
      <c r="D33" s="2563"/>
      <c r="E33" s="2563"/>
      <c r="F33" s="2563"/>
    </row>
    <row r="34" spans="2:6" ht="18" customHeight="1">
      <c r="B34" s="2562"/>
      <c r="C34" s="2563"/>
      <c r="D34" s="2563"/>
      <c r="E34" s="2563"/>
      <c r="F34" s="2563"/>
    </row>
    <row r="35" spans="2:6" ht="18" customHeight="1">
      <c r="B35" s="2562"/>
      <c r="C35" s="2563"/>
      <c r="D35" s="2563"/>
      <c r="E35" s="2563"/>
      <c r="F35" s="2563"/>
    </row>
    <row r="36" spans="2:6" ht="18" customHeight="1">
      <c r="B36" s="2562"/>
      <c r="C36" s="2563"/>
      <c r="D36" s="2563"/>
      <c r="E36" s="2563"/>
      <c r="F36" s="2563"/>
    </row>
    <row r="37" spans="2:6" ht="18" customHeight="1">
      <c r="B37" s="2562"/>
      <c r="C37" s="2563"/>
      <c r="D37" s="2563"/>
      <c r="E37" s="2563"/>
      <c r="F37" s="2563"/>
    </row>
    <row r="38" spans="2:6" ht="18" customHeight="1">
      <c r="B38" s="2562"/>
      <c r="C38" s="2563"/>
      <c r="D38" s="2563"/>
      <c r="E38" s="2563"/>
      <c r="F38" s="2563"/>
    </row>
    <row r="39" spans="2:6" ht="18" customHeight="1">
      <c r="B39" s="2562"/>
      <c r="C39" s="2563"/>
      <c r="D39" s="2563"/>
      <c r="E39" s="2563"/>
      <c r="F39" s="2563"/>
    </row>
    <row r="40" spans="2:6" ht="18" customHeight="1">
      <c r="B40" s="2562"/>
      <c r="C40" s="2563"/>
      <c r="D40" s="2563"/>
      <c r="E40" s="2563"/>
      <c r="F40" s="2563"/>
    </row>
    <row r="41" spans="2:6" ht="18" customHeight="1">
      <c r="B41" s="2562"/>
      <c r="C41" s="2563"/>
      <c r="D41" s="2563"/>
      <c r="E41" s="2563"/>
      <c r="F41" s="2563"/>
    </row>
    <row r="42" spans="2:6" ht="18" customHeight="1">
      <c r="B42" s="2562"/>
      <c r="C42" s="2563"/>
      <c r="D42" s="2563"/>
      <c r="E42" s="2563"/>
      <c r="F42" s="2563"/>
    </row>
    <row r="43" spans="2:6" ht="18" customHeight="1">
      <c r="B43" s="2563"/>
      <c r="C43" s="2563"/>
      <c r="D43" s="2563"/>
      <c r="E43" s="2563"/>
      <c r="F43" s="2563"/>
    </row>
    <row r="44" spans="2:6">
      <c r="B44" s="2564"/>
      <c r="C44" s="2563"/>
      <c r="D44" s="2563"/>
      <c r="E44" s="2563"/>
      <c r="F44" s="2563"/>
    </row>
    <row r="45" spans="2:6">
      <c r="B45" s="2563"/>
      <c r="C45" s="2563"/>
      <c r="D45" s="2563"/>
      <c r="E45" s="2563"/>
    </row>
    <row r="46" spans="2:6">
      <c r="B46" s="2563"/>
      <c r="C46" s="2563"/>
      <c r="D46" s="2563"/>
      <c r="E46" s="2563"/>
    </row>
    <row r="47" spans="2:6">
      <c r="B47" s="2563"/>
      <c r="C47" s="2563"/>
      <c r="D47" s="2563"/>
      <c r="E47" s="2563"/>
    </row>
    <row r="48" spans="2:6">
      <c r="B48" s="2563"/>
      <c r="C48" s="2563"/>
      <c r="D48" s="2563"/>
      <c r="E48" s="2563"/>
    </row>
    <row r="49" spans="2:5">
      <c r="B49" s="2563"/>
      <c r="C49" s="2563"/>
      <c r="D49" s="2563"/>
      <c r="E49" s="2563"/>
    </row>
  </sheetData>
  <sheetProtection password="83C1" sheet="1" objects="1" scenarios="1"/>
  <mergeCells count="1">
    <mergeCell ref="D2:E2"/>
  </mergeCells>
  <phoneticPr fontId="4" type="noConversion"/>
  <hyperlinks>
    <hyperlink ref="B6" location="מקרא!A1" tooltip="הוראות עבודה ביישום" display="מקרא"/>
    <hyperlink ref="B7" location="'הגדרות כלליות'!A1" tooltip="טופס למילוי: שם הרשות ונתוני תקופה" display="הגדרות כלליות*"/>
    <hyperlink ref="B8" location="'נתונים משותפים'!A1" tooltip="טופס למילוי: נתונים כלליים ברמה ארצית" display="נתונים משותפים*"/>
    <hyperlink ref="B9" location="'נתונים כלליים'!A1" tooltip="טופס למילוי: פרטי הרשות ואישור התקציב" display="נתונים כלליים*"/>
    <hyperlink ref="B10" location="'בדיקות הצלבה'!A1" tooltip="לא למילוי: בדיקות תקינות על הנתונים" display="בדיקות הצלבה"/>
    <hyperlink ref="C6" location="'נתונים לטופס 1'!A1" tooltip="טופס למילוי: נתוני עודף/גרעון בתקציב רגיל" display="נתונים לטופס 1*"/>
    <hyperlink ref="C7" location="'טופס 1 אקטיב'!A1" tooltip="טופס למילוי: מאזן אקטיב" display="טופס 1 אקטיב*"/>
    <hyperlink ref="C8" location="'טופס 1 פאסיב'!A1" tooltip="טופס למילוי: מאזן פאסיב" display="טופס 1 פאסיב*"/>
    <hyperlink ref="C9" location="'ביאורים 1, 2 א-ב'!A1" tooltip="ביאורים למאזן. טקסט ניתן לעריכה" display="ביאורים 1, 2 א-ב"/>
    <hyperlink ref="C10" location="'ביאור 2 ג-ז'!A1" tooltip="ביאורים למאזן. טקסט ניתן לעריכה" display="ביאור 2 ג-ז"/>
    <hyperlink ref="C12" location="'ביאור 3'!A1" tooltip="טופס למילוי: ביאור לסעיפי המאזן" display="ביאור 3*"/>
    <hyperlink ref="C13" location="'ביאור 3 המשך'!A1" tooltip="ביאורים למאזן. טקסט ניתן לעריכה" display="ביאור 3 המשך"/>
    <hyperlink ref="C14" location="'ביאור 4'!A1" tooltip="טופס למילוי: תקבולים ותשלומים לא רגילים" display="ביאור 4*"/>
    <hyperlink ref="C15" location="'ביאור 5'!A1" tooltip="טופס למילוי: תנועות בקרנות" display="ביאור 5*"/>
    <hyperlink ref="C16" location="'ביאורים 6-9'!A1" tooltip="ביאורים למאזן. טקסט ניתן לעריכה" display="ביאורים 6-9"/>
    <hyperlink ref="C17" location="'ביאורים נוספים'!A1" tooltip="ביאורים למאזן. טקסט ניתן לעריכה" display="ביאורים נוספים"/>
    <hyperlink ref="D6" location="'טופס 2'!A1" tooltip="טופס למילוי: נתוני התקציב הרגיל" display="טופס 2*"/>
    <hyperlink ref="D8" location="'נתונים לנספח 1 לטופס 2'!A1" tooltip="טופס למילוי: פירוט לנספח 1 לטופס 2 חלקים ב,ג" display="נתונים לנספח 1 לטופס 2*"/>
    <hyperlink ref="D9" location="'נספח 1 לטופס 2'!A1" tooltip="טופס למילוי: הכנסות בתקציב הרגיל" display="נספח 1 לטופס 2*"/>
    <hyperlink ref="D10" location="'נספח 1 לטופס 2  המשך'!A1" tooltip="טופס למילוי: הוצאות בתקציב הרגיל" display="נספח 1 לטופס 2  המשך*"/>
    <hyperlink ref="D11" location="'נספח 2 לטופס 2'!A1" tooltip="לא למילוי: השוואת הוצאות והכנסות בתקציב הרגיל" display="נספח 2 לטופס 2"/>
    <hyperlink ref="F6" location="'דוח לתושב'!A1" tooltip="לא למילוי: דוח לפירסום ברשות המקומית" display="דוח לתושב"/>
    <hyperlink ref="F7" location="'ספר לבן'!A1" tooltip="לא למילוי: דוח &quot;הספר הלבן&quot;" display="דוח נתונים כספיים מבוקרים"/>
    <hyperlink ref="F8" location="'נספח ה'!A1" tooltip="לא למילוי: נספח ה לדוח הביקורת המפורט, ע&quot;פ טופס 2" display="דוח ביקורת  מפורט -  נספח ה"/>
    <hyperlink ref="F9" location="'נספח ו'!A1" tooltip="לא למילוי: נספח ו לדוח הביקורת המפורט, ע&quot;פ טופס 2" display="דוח ביקורת  מפורט -  נספח ו"/>
    <hyperlink ref="F10" location="'נספח ז'!A1" tooltip="לא למילוי: נספח ז לדוח הביקורת המפורט, ע&quot;פ טופס 2" display="דוח ביקורת  מפורט -  נספח ז"/>
    <hyperlink ref="D12" location="'נספח 3 לטופס 2'!A1" tooltip="טופס למילוי: פירוט סעיפי הכנסות והוצאות" display="נספח 3 לטופס 2*"/>
    <hyperlink ref="D14" location="'נספח 4 לטופס 2 חלק א'!A1" tooltip="לא למילוי: דוח השכר לפי סוגי משרה" display="נתוני כוח אדם והוצאות שכר - נספח 4 לטופס 2"/>
    <hyperlink ref="D13" location="'נתונים לנספח 4 לטופס 2 חלק א'!A1" tooltip="טופס למילוי: פירוט נתוני שכר" display="נתוני כח אדם ושכר - נתונים לנספח 4 לטופס 2*"/>
    <hyperlink ref="D15" location="'נספח 4 לטופס 2 חלק ב'!A1" tooltip="טופס למילוי: שכר ומשרות לפי פרקי התקציב" display="שכר ומשרות לפי פרקי תקציב - נספח 4 לטופס 2 חלק ב*"/>
    <hyperlink ref="D7" location="'נתונים לנספח 1 לטופס 2'!A75" tooltip="טופס למילוי: פירוט הוצאות מים עבור טופס 2 (הפירוט מופיע בנתונים לנספח 1 לטופס 2)" display="נתונים לטופס 2*"/>
    <hyperlink ref="B11" location="פתיח!A1" tooltip="דף מקדים לדוח הכספי המודפס" display="פתיח"/>
    <hyperlink ref="B12" location="'תוכן ענינים להדפסה'!A1" tooltip="רשימת הטפסים הנכללים בדוח הכספי המודפס" display="תוכן ענינים להדפסה"/>
    <hyperlink ref="F11" location="'דוח תמיכות'!A1" tooltip="גליון חופשי להקלדת דוח תמיכות והשתתפויות" display="דוח תמיכות והשתתפויות"/>
    <hyperlink ref="B13" location="'דוח המבקרים'!A1" tooltip="תבנית מכתב לממונה על החשבונות במשרד הפנים" display="דוח המבקרים*"/>
    <hyperlink ref="E6" location="מקרא!A1" tooltip="הוראות עבודה ביישום" display="מקרא"/>
    <hyperlink ref="E7" location="'הגדרות כלליות'!A1" tooltip="טופס למילוי: שם הרשות ונתוני תקופה" display="הגדרות כלליות*"/>
    <hyperlink ref="E8" location="'נתונים משותפים'!A1" tooltip="טופס למילוי: נתונים כלליים ברמה ארצית" display="נתונים משותפים*"/>
    <hyperlink ref="E9" location="'נתונים כלליים'!A1" tooltip="טופס למילוי: פרטי הרשות ואישור התקציב" display="נתונים כלליים*"/>
    <hyperlink ref="E10" location="'בדיקות הצלבה'!A1" tooltip="לא למילוי: בדיקות תקינות על הנתונים" display="בדיקות הצלבה"/>
    <hyperlink ref="E11" location="פתיח!A1" tooltip="דף מקדים לדוח הכספ המודפס" display="פתיח"/>
    <hyperlink ref="E12" location="'תוכן ענינים להדפסה'!A1" tooltip="רשימת הטפסים הנכללים בדוח הכספי המודפס" display="תוכן ענינים להדפסה"/>
    <hyperlink ref="E13" location="'דוח המבקרים'!A1" tooltip="תבנית מכתב לממונה על החשבונות במשרד הפנים" display="דוח המבקרים*"/>
    <hyperlink ref="C18" location="'נתונים לנספח 2 לטופס 1'!A1" tooltip="טופס למילוי: גביה וחייבים שנה קודמת" display="נתונים לנספח 2 לטופס 1*"/>
    <hyperlink ref="C19" location="'נספח 2 לטופס 1'!A1" tooltip="טופס למילוי: דוח גביה כללי" display="נספח 2 לטופס 1*"/>
    <hyperlink ref="C20" location="'נספח 2 לטופס 1 - פירוט א'!A1" tooltip="טופס למילוי: דוח גביה - חיובים" display="נספח 2 לטופס 1 - פירוט א*"/>
    <hyperlink ref="C21" location="'נספח 2 לטופס 1 - פירוט ב'!A1" tooltip="טופס למילוי: דוח גביה - הנחות" display="נספח 2 לטופס 1 - פירוט ב*"/>
    <hyperlink ref="C22" location="'נספח 2 לטופס 1 - פירוט ג'!A1" tooltip="טופס למילוי: דוח גביה - נתוני גביה" display="נספח 2 לטופס 1 - פירוט ג*"/>
    <hyperlink ref="C24" location="'נספח 3 לטופס 1'!A1" tooltip="טופס למילוי: נתוני המלוות" display="נספח 3 לטופס 1*"/>
    <hyperlink ref="C23" location="'נספח 2 לטופס 1 - פירוט ד'!A1" tooltip="טופס למילוי: דוח גביה - פירוט מרכיבי הגביה" display="נספח 2 לטופס 1 - פירוט ד*"/>
    <hyperlink ref="D17" location="'נספח 6 לטופס 2'!A1" tooltip="טופס למילוי: תעריפי ארנונה לפי סקטור" display="נספח 6 לטופס 2*"/>
    <hyperlink ref="D16" location="'נספח 5 לטופס 2'!A1" tooltip="טופס למילוי: שכר לפי מרכיבי השכר" display="נספח 5 לטופס 2*"/>
    <hyperlink ref="D18" location="'נספח 7 לטופס 2'!A1" tooltip="לא למילוי: נספח 7 לטופס 2 (לשעבר נספח ה)" display="שינויים מהותיים בין תקציב השנה שנסתיימה לביצוע בשנה הקודמת - נספח 7 לטופס 2"/>
    <hyperlink ref="D19" location="'נספח 8 לטופס 2'!A1" tooltip="לא למילוי: נספח 8 לטופס 2 (לשעבר נספח ו)" display="השוואת הביצוע בשנה שנסתיימה לעומת הביצוע בשנה הקודמת - נספח 8 לטופס 2"/>
    <hyperlink ref="D20" location="'נספח 9 לטופס 2'!A1" tooltip="לא למילוי: נספח 9 לטופס 2 (לשעבר נספח ז)" display="השוואת תקציב בשנה שנסתיימה לעומת הביצוע בשנה שנסתיימה - נספח 9 לטופס 2"/>
    <hyperlink ref="D23" location="'נתונים לטופס 3'!A1" tooltip="טופס למילוי: פירוט סעיפי תקבולים ותשלומים בתב&quot;ר" display="נתונים לטופס 3*"/>
    <hyperlink ref="D24" location="'טופס 3'!A1" tooltip="טופס למילוי: נתוני התקציב הבלתי רגיל" display="טופס 3*"/>
    <hyperlink ref="D25" location="'נספח 1 לטופס 3'!A1" tooltip="טופס למילוי: פירוט תב&quot;רים לפי פרקי התקציב" display="נספח 1 לטופס 3*"/>
    <hyperlink ref="D26" location="'נתונים והתאמות לטופס 4'!A1" tooltip="טופס למילוי: התאמות לטופס 4" display="נתונים והתאמות לטופס 4*"/>
    <hyperlink ref="D27" location="'טופס 4'!A1" tooltip="לא למילוי: ריכוז תקבולים ותשלומים בתקציב רגיל, תב&quot;ר וקרן לעבודות פיתוח" display="ריכוז תקבולים ותשלומים בתקציב הרגיל, הבלתי רגיל ובקרן לעבודות פיתוח - טופס 4"/>
    <hyperlink ref="B24" location="'ספר לבן'!A1" tooltip="לא למילוי: דוח תמצית נתונים כספיים מבוקרים" display="ספר לבן"/>
    <hyperlink ref="B25" location="'דוח תמיכות'!A1" tooltip="גליון חופשי להקלדת דוח תמיכות והשתתפויות" display="תמיכות והשתתפויות"/>
    <hyperlink ref="B23" location="'דוח לתושב'!A1" tooltip="לא למילוי: דוח לפירסום ברשות המקומית" display="דוח לתושב"/>
    <hyperlink ref="B26" location="'נספח א'!A1" tooltip="טופס למילוי: נספח א לדוח הביקורת המפורט" display="טבלת שטחים וגביה נס.א*"/>
    <hyperlink ref="C11" location="'ביאור 2 ח-יד'!A1" display="ביאור 2 ח-יד"/>
  </hyperlinks>
  <pageMargins left="0.75" right="0.75" top="1" bottom="1" header="0.5" footer="0.5"/>
  <pageSetup paperSize="9" scale="94" orientation="landscape" blackAndWhite="1" horizontalDpi="300" verticalDpi="300" r:id="rId1"/>
  <headerFooter alignWithMargins="0">
    <oddHeader>&amp;L&amp;8&amp;A</oddHeader>
    <oddFooter>&amp;C&amp;8&amp;P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7"/>
  <dimension ref="A1:K31"/>
  <sheetViews>
    <sheetView showGridLines="0" showRowColHeaders="0" showZeros="0" rightToLeft="1" showOutlineSymbols="0" workbookViewId="0">
      <selection activeCell="A4" sqref="A4"/>
    </sheetView>
  </sheetViews>
  <sheetFormatPr defaultColWidth="9.109375" defaultRowHeight="13.2"/>
  <cols>
    <col min="1" max="3" width="9.109375" style="2388"/>
    <col min="4" max="4" width="2.109375" style="2388" customWidth="1"/>
    <col min="5" max="5" width="12.44140625" style="2388" customWidth="1"/>
    <col min="6" max="6" width="25.44140625" style="2388" customWidth="1"/>
    <col min="7" max="7" width="18.33203125" style="2388" customWidth="1"/>
    <col min="8" max="16384" width="9.109375" style="2388"/>
  </cols>
  <sheetData>
    <row r="1" spans="1:11">
      <c r="A1" s="2384"/>
      <c r="B1" s="2384"/>
      <c r="C1" s="2384"/>
      <c r="D1" s="2384"/>
      <c r="E1" s="2384"/>
      <c r="F1" s="2384"/>
      <c r="G1" s="2384"/>
      <c r="H1" s="2384"/>
      <c r="I1" s="2384"/>
      <c r="J1" s="2384"/>
      <c r="K1" s="2565"/>
    </row>
    <row r="2" spans="1:11" ht="15.6">
      <c r="A2" s="2384"/>
      <c r="B2" s="2384"/>
      <c r="C2" s="2384"/>
      <c r="D2" s="2384"/>
      <c r="E2" s="2384"/>
      <c r="F2" s="2566" t="s">
        <v>1467</v>
      </c>
      <c r="G2" s="2384"/>
      <c r="H2" s="2384"/>
      <c r="I2" s="2384"/>
      <c r="J2" s="2384"/>
      <c r="K2" s="2565"/>
    </row>
    <row r="3" spans="1:11" ht="24" customHeight="1">
      <c r="A3" s="2384"/>
      <c r="B3" s="2384"/>
      <c r="C3" s="2384"/>
      <c r="D3" s="2384"/>
      <c r="E3" s="2384"/>
      <c r="F3" s="2567"/>
      <c r="G3" s="2384"/>
      <c r="H3" s="2384"/>
      <c r="I3" s="2384"/>
      <c r="J3" s="2384"/>
      <c r="K3" s="2565"/>
    </row>
    <row r="4" spans="1:11" ht="23.25" customHeight="1">
      <c r="A4" s="7" t="s">
        <v>339</v>
      </c>
      <c r="B4" s="2389"/>
      <c r="C4" s="2389"/>
      <c r="D4" s="2389"/>
      <c r="E4" s="2389"/>
      <c r="F4" s="2568"/>
      <c r="G4" s="2389"/>
      <c r="H4" s="2389"/>
      <c r="I4" s="2389"/>
      <c r="J4" s="2389"/>
      <c r="K4" s="2565"/>
    </row>
    <row r="5" spans="1:11">
      <c r="A5" s="2389"/>
      <c r="B5" s="2389"/>
      <c r="C5" s="2389"/>
      <c r="D5" s="2569"/>
      <c r="E5" s="2570" t="s">
        <v>1477</v>
      </c>
      <c r="F5" s="2571" t="s">
        <v>1478</v>
      </c>
      <c r="G5" s="2572" t="s">
        <v>1479</v>
      </c>
      <c r="H5" s="2573"/>
      <c r="I5" s="2389"/>
      <c r="J5" s="2389"/>
      <c r="K5" s="2565"/>
    </row>
    <row r="6" spans="1:11">
      <c r="A6" s="2389"/>
      <c r="B6" s="2389"/>
      <c r="C6" s="2389"/>
      <c r="D6" s="2574"/>
      <c r="E6" s="2575"/>
      <c r="F6" s="2575"/>
      <c r="G6" s="2576"/>
      <c r="H6" s="2389"/>
      <c r="I6" s="2389"/>
      <c r="J6" s="2389"/>
      <c r="K6" s="2565"/>
    </row>
    <row r="7" spans="1:11">
      <c r="A7" s="2389"/>
      <c r="B7" s="2389"/>
      <c r="C7" s="2389"/>
      <c r="D7" s="2577"/>
      <c r="E7" s="2578"/>
      <c r="F7" s="2579" t="s">
        <v>1480</v>
      </c>
      <c r="G7" s="2580" t="s">
        <v>1481</v>
      </c>
      <c r="H7" s="2389"/>
      <c r="I7" s="2389"/>
      <c r="J7" s="2389"/>
      <c r="K7" s="2565"/>
    </row>
    <row r="8" spans="1:11">
      <c r="A8" s="2389"/>
      <c r="B8" s="2389"/>
      <c r="C8" s="2389"/>
      <c r="D8" s="2577"/>
      <c r="E8" s="2581"/>
      <c r="F8" s="2582" t="s">
        <v>1482</v>
      </c>
      <c r="G8" s="2580" t="s">
        <v>1483</v>
      </c>
      <c r="H8" s="2389"/>
      <c r="I8" s="2389"/>
      <c r="J8" s="2389"/>
      <c r="K8" s="2565"/>
    </row>
    <row r="9" spans="1:11">
      <c r="A9" s="2389"/>
      <c r="B9" s="2389"/>
      <c r="C9" s="2389"/>
      <c r="D9" s="2577"/>
      <c r="E9" s="2583"/>
      <c r="F9" s="2582" t="s">
        <v>1484</v>
      </c>
      <c r="G9" s="2580" t="s">
        <v>1481</v>
      </c>
      <c r="H9" s="2389"/>
      <c r="I9" s="2389"/>
      <c r="J9" s="2389"/>
      <c r="K9" s="2565"/>
    </row>
    <row r="10" spans="1:11">
      <c r="A10" s="2389"/>
      <c r="B10" s="2389"/>
      <c r="C10" s="2389"/>
      <c r="D10" s="2577"/>
      <c r="E10" s="2584"/>
      <c r="F10" s="2582" t="s">
        <v>1485</v>
      </c>
      <c r="G10" s="2580" t="s">
        <v>1481</v>
      </c>
      <c r="H10" s="2389"/>
      <c r="I10" s="2389"/>
      <c r="J10" s="2389"/>
      <c r="K10" s="2565"/>
    </row>
    <row r="11" spans="1:11">
      <c r="A11" s="2389"/>
      <c r="B11" s="2389"/>
      <c r="C11" s="2389"/>
      <c r="D11" s="2577"/>
      <c r="E11" s="2585" t="s">
        <v>350</v>
      </c>
      <c r="F11" s="2582" t="s">
        <v>1486</v>
      </c>
      <c r="G11" s="2580" t="s">
        <v>1483</v>
      </c>
      <c r="H11" s="2389"/>
      <c r="I11" s="2389"/>
      <c r="J11" s="2389"/>
      <c r="K11" s="2565"/>
    </row>
    <row r="12" spans="1:11" ht="27" customHeight="1">
      <c r="A12" s="2389"/>
      <c r="B12" s="2389"/>
      <c r="C12" s="2389"/>
      <c r="D12" s="2577"/>
      <c r="E12" s="2586" t="s">
        <v>1487</v>
      </c>
      <c r="F12" s="2587" t="s">
        <v>1488</v>
      </c>
      <c r="G12" s="2588" t="s">
        <v>1483</v>
      </c>
      <c r="H12" s="2389"/>
      <c r="I12" s="2389"/>
      <c r="J12" s="2389"/>
      <c r="K12" s="2565"/>
    </row>
    <row r="13" spans="1:11">
      <c r="A13" s="2389"/>
      <c r="B13" s="2389"/>
      <c r="C13" s="2389"/>
      <c r="D13" s="2589"/>
      <c r="E13" s="2590"/>
      <c r="F13" s="2590"/>
      <c r="G13" s="2591"/>
      <c r="H13" s="2389"/>
      <c r="I13" s="2389"/>
      <c r="J13" s="2389"/>
      <c r="K13" s="2565"/>
    </row>
    <row r="14" spans="1:11">
      <c r="A14" s="2389"/>
      <c r="B14" s="2389"/>
      <c r="C14" s="2389"/>
      <c r="D14" s="2389"/>
      <c r="E14" s="2389"/>
      <c r="F14" s="2389"/>
      <c r="G14" s="2389"/>
      <c r="H14" s="2389"/>
      <c r="I14" s="2389"/>
      <c r="J14" s="2389"/>
      <c r="K14" s="2565"/>
    </row>
    <row r="15" spans="1:11">
      <c r="A15" s="2389"/>
      <c r="B15" s="2389"/>
      <c r="C15" s="2389"/>
      <c r="D15" s="2389"/>
      <c r="E15" s="2931" t="s">
        <v>1148</v>
      </c>
      <c r="F15" s="2389"/>
      <c r="G15" s="2389"/>
      <c r="H15" s="2389"/>
      <c r="I15" s="2389"/>
      <c r="J15" s="2389"/>
      <c r="K15" s="2565"/>
    </row>
    <row r="16" spans="1:11">
      <c r="A16" s="2389"/>
      <c r="B16" s="2389"/>
      <c r="C16" s="2389"/>
      <c r="D16" s="2389"/>
      <c r="E16" s="2931" t="s">
        <v>1149</v>
      </c>
      <c r="F16" s="2389"/>
      <c r="G16" s="2389"/>
      <c r="H16" s="2389"/>
      <c r="I16" s="2389"/>
      <c r="J16" s="2389"/>
      <c r="K16" s="2565"/>
    </row>
    <row r="17" spans="1:11">
      <c r="A17" s="2389"/>
      <c r="B17" s="2389"/>
      <c r="C17" s="2389"/>
      <c r="D17" s="2389"/>
      <c r="E17" s="2389"/>
      <c r="F17" s="2389"/>
      <c r="G17" s="2389"/>
      <c r="H17" s="2389"/>
      <c r="I17" s="2389"/>
      <c r="J17" s="2389"/>
      <c r="K17" s="2565"/>
    </row>
    <row r="18" spans="1:11">
      <c r="A18" s="2389"/>
      <c r="B18" s="2389"/>
      <c r="C18" s="2389"/>
      <c r="D18" s="2389"/>
      <c r="E18" s="2389"/>
      <c r="F18" s="2389"/>
      <c r="G18" s="2389"/>
      <c r="H18" s="2389"/>
      <c r="I18" s="2389"/>
      <c r="J18" s="2389"/>
      <c r="K18" s="2565"/>
    </row>
    <row r="19" spans="1:11">
      <c r="A19" s="2389"/>
      <c r="B19" s="2389"/>
      <c r="C19" s="2389"/>
      <c r="D19" s="2389"/>
      <c r="E19" s="2389"/>
      <c r="F19" s="2389"/>
      <c r="G19" s="2389"/>
      <c r="H19" s="2389"/>
      <c r="I19" s="2389"/>
      <c r="J19" s="2389"/>
      <c r="K19" s="2565"/>
    </row>
    <row r="20" spans="1:11">
      <c r="A20" s="2389"/>
      <c r="B20" s="2389"/>
      <c r="C20" s="2389"/>
      <c r="D20" s="2389"/>
      <c r="E20" s="2389"/>
      <c r="F20" s="2389"/>
      <c r="G20" s="2389"/>
      <c r="H20" s="2389"/>
      <c r="I20" s="2389"/>
      <c r="J20" s="2389"/>
      <c r="K20" s="2565"/>
    </row>
    <row r="21" spans="1:11">
      <c r="A21" s="2389"/>
      <c r="B21" s="2389"/>
      <c r="C21" s="2389"/>
      <c r="D21" s="2389"/>
      <c r="E21" s="2389"/>
      <c r="F21" s="2389"/>
      <c r="G21" s="2389"/>
      <c r="H21" s="2389"/>
      <c r="I21" s="2389"/>
      <c r="J21" s="2389"/>
      <c r="K21" s="2565"/>
    </row>
    <row r="22" spans="1:11">
      <c r="A22" s="2389"/>
      <c r="B22" s="2389"/>
      <c r="C22" s="2389"/>
      <c r="D22" s="2389"/>
      <c r="E22" s="2389"/>
      <c r="F22" s="2389"/>
      <c r="G22" s="2389"/>
      <c r="H22" s="2389"/>
      <c r="I22" s="2389"/>
      <c r="J22" s="2389"/>
      <c r="K22" s="2565"/>
    </row>
    <row r="23" spans="1:11">
      <c r="A23" s="2389"/>
      <c r="B23" s="2389"/>
      <c r="C23" s="2389"/>
      <c r="D23" s="2389"/>
      <c r="E23" s="2389"/>
      <c r="F23" s="2389"/>
      <c r="G23" s="2389"/>
      <c r="H23" s="2389"/>
      <c r="I23" s="2389"/>
      <c r="J23" s="2389"/>
      <c r="K23" s="2565"/>
    </row>
    <row r="24" spans="1:11">
      <c r="A24" s="2389"/>
      <c r="B24" s="2389"/>
      <c r="C24" s="2389"/>
      <c r="D24" s="2389"/>
      <c r="E24" s="2389"/>
      <c r="F24" s="2389"/>
      <c r="G24" s="2389"/>
      <c r="H24" s="2389"/>
      <c r="I24" s="2389"/>
      <c r="J24" s="2389"/>
      <c r="K24" s="2565"/>
    </row>
    <row r="25" spans="1:11">
      <c r="A25" s="2389"/>
      <c r="B25" s="2389"/>
      <c r="C25" s="2389"/>
      <c r="D25" s="2389"/>
      <c r="E25" s="2389"/>
      <c r="F25" s="2389"/>
      <c r="G25" s="2389"/>
      <c r="H25" s="2389"/>
      <c r="I25" s="2389"/>
      <c r="J25" s="2389"/>
      <c r="K25" s="2565"/>
    </row>
    <row r="26" spans="1:11">
      <c r="A26" s="2389"/>
      <c r="B26" s="2389"/>
      <c r="C26" s="2389"/>
      <c r="D26" s="2389"/>
      <c r="E26" s="2389"/>
      <c r="F26" s="2389"/>
      <c r="G26" s="2389"/>
      <c r="H26" s="2389"/>
      <c r="I26" s="2389"/>
      <c r="J26" s="2389"/>
      <c r="K26" s="2565"/>
    </row>
    <row r="27" spans="1:11">
      <c r="A27" s="2389"/>
      <c r="B27" s="2389"/>
      <c r="C27" s="2389"/>
      <c r="D27" s="2389"/>
      <c r="E27" s="2389"/>
      <c r="F27" s="2389"/>
      <c r="G27" s="2389"/>
      <c r="H27" s="2389"/>
      <c r="I27" s="2389"/>
      <c r="J27" s="2389"/>
      <c r="K27" s="2565"/>
    </row>
    <row r="28" spans="1:11">
      <c r="A28" s="2389"/>
      <c r="B28" s="2389"/>
      <c r="C28" s="2389"/>
      <c r="D28" s="2389"/>
      <c r="E28" s="2389"/>
      <c r="F28" s="2389"/>
      <c r="G28" s="2389"/>
      <c r="H28" s="2389"/>
      <c r="I28" s="2389"/>
      <c r="J28" s="2389"/>
      <c r="K28" s="2565"/>
    </row>
    <row r="29" spans="1:11">
      <c r="A29" s="2389"/>
      <c r="B29" s="2389"/>
      <c r="C29" s="2389"/>
      <c r="D29" s="2389"/>
      <c r="E29" s="2389"/>
      <c r="F29" s="2389"/>
      <c r="G29" s="2389"/>
      <c r="H29" s="2389"/>
      <c r="I29" s="2389"/>
      <c r="J29" s="2389"/>
      <c r="K29" s="2565"/>
    </row>
    <row r="30" spans="1:11" ht="13.8" thickBot="1">
      <c r="A30" s="2389"/>
      <c r="B30" s="2389"/>
      <c r="C30" s="2389"/>
      <c r="D30" s="2389"/>
      <c r="E30" s="2389"/>
      <c r="F30" s="2389"/>
      <c r="G30" s="2389"/>
      <c r="H30" s="2389"/>
      <c r="I30" s="2389"/>
      <c r="J30" s="2389"/>
      <c r="K30" s="2565"/>
    </row>
    <row r="31" spans="1:11" ht="13.8" thickTop="1">
      <c r="A31" s="2592"/>
      <c r="B31" s="2592"/>
      <c r="C31" s="2592"/>
      <c r="D31" s="2592"/>
      <c r="E31" s="2592"/>
      <c r="F31" s="2592"/>
      <c r="G31" s="2592"/>
      <c r="H31" s="2592"/>
      <c r="I31" s="2592"/>
      <c r="J31" s="2592"/>
    </row>
  </sheetData>
  <sheetProtection password="83C1" sheet="1" objects="1" scenarios="1"/>
  <phoneticPr fontId="4" type="noConversion"/>
  <hyperlinks>
    <hyperlink ref="A4" location="'תוכן הענינים'!A1" tooltip="לחץ להצגת גליון תוכן הענינים" display="הצג תוכן ענינים"/>
  </hyperlinks>
  <printOptions horizontalCentered="1"/>
  <pageMargins left="0.75" right="0.75" top="1" bottom="1" header="0.5" footer="0.5"/>
  <pageSetup paperSize="9" orientation="portrait" horizontalDpi="300" verticalDpi="300" r:id="rId1"/>
  <headerFooter alignWithMargins="0">
    <oddHeader>&amp;L&amp;8&amp;A</oddHeader>
    <oddFooter>&amp;C&amp;8&amp;P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pageSetUpPr autoPageBreaks="0"/>
  </sheetPr>
  <dimension ref="A1:L73"/>
  <sheetViews>
    <sheetView showRowColHeaders="0" rightToLeft="1" showOutlineSymbols="0" zoomScale="90" zoomScaleNormal="90" zoomScaleSheetLayoutView="75" workbookViewId="0"/>
  </sheetViews>
  <sheetFormatPr defaultColWidth="9.109375" defaultRowHeight="13.2"/>
  <cols>
    <col min="1" max="1" width="2.6640625" style="297" customWidth="1"/>
    <col min="2" max="3" width="3.44140625" style="297" customWidth="1"/>
    <col min="4" max="4" width="9.109375" style="297"/>
    <col min="5" max="5" width="10.44140625" style="297" customWidth="1"/>
    <col min="6" max="6" width="17.109375" style="297" customWidth="1"/>
    <col min="7" max="9" width="12.33203125" style="297" customWidth="1"/>
    <col min="10" max="10" width="9.6640625" style="297" customWidth="1"/>
    <col min="11" max="11" width="29" style="297" customWidth="1"/>
    <col min="12" max="16384" width="9.109375" style="297"/>
  </cols>
  <sheetData>
    <row r="1" spans="1:11" ht="15.6">
      <c r="A1" s="634" t="s">
        <v>1375</v>
      </c>
      <c r="B1" s="635"/>
      <c r="C1" s="635"/>
      <c r="D1" s="635"/>
      <c r="E1" s="635"/>
      <c r="F1" s="3457" t="str">
        <f>'הגדרות כלליות'!D6</f>
        <v>עירית הרצליה</v>
      </c>
      <c r="G1" s="3458"/>
      <c r="H1" s="3458"/>
      <c r="I1" s="3458"/>
      <c r="J1" s="3458"/>
      <c r="K1" s="637"/>
    </row>
    <row r="2" spans="1:11" ht="15.75" customHeight="1">
      <c r="A2" s="635"/>
      <c r="B2" s="635"/>
      <c r="C2" s="635"/>
      <c r="D2" s="635"/>
      <c r="E2" s="635"/>
      <c r="F2" s="3457" t="s">
        <v>559</v>
      </c>
      <c r="G2" s="3332"/>
      <c r="H2" s="3332"/>
      <c r="I2" s="3332"/>
      <c r="J2" s="3332"/>
      <c r="K2" s="637"/>
    </row>
    <row r="3" spans="1:11" ht="15.75" customHeight="1">
      <c r="A3" s="635"/>
      <c r="B3" s="635"/>
      <c r="C3" s="635"/>
      <c r="D3" s="635"/>
      <c r="E3" s="635"/>
      <c r="F3" s="3457" t="str">
        <f>CONCATENATE("לשנה שנסתיימה ביום 31 בדצמבר ",'הגדרות כלליות'!D10, " (אלפי ש''ח) ")</f>
        <v xml:space="preserve">לשנה שנסתיימה ביום 31 בדצמבר 2015 (אלפי ש''ח) </v>
      </c>
      <c r="G3" s="3460"/>
      <c r="H3" s="3460"/>
      <c r="I3" s="3460"/>
      <c r="J3" s="3461"/>
      <c r="K3" s="637"/>
    </row>
    <row r="4" spans="1:11" ht="15.75" customHeight="1">
      <c r="A4" s="638" t="s">
        <v>339</v>
      </c>
      <c r="B4" s="639"/>
      <c r="C4" s="639"/>
      <c r="D4" s="639"/>
      <c r="E4" s="639"/>
      <c r="F4" s="639"/>
      <c r="G4" s="639"/>
      <c r="H4" s="640"/>
      <c r="I4" s="640"/>
      <c r="J4" s="641"/>
      <c r="K4" s="637"/>
    </row>
    <row r="5" spans="1:11" ht="15.75" customHeight="1">
      <c r="A5" s="3459" t="str">
        <f>F1</f>
        <v>עירית הרצליה</v>
      </c>
      <c r="B5" s="3459"/>
      <c r="C5" s="3459"/>
      <c r="D5" s="3459"/>
      <c r="E5" s="3459"/>
      <c r="F5" s="3459"/>
      <c r="G5" s="3459"/>
      <c r="H5" s="3459"/>
      <c r="I5" s="3459"/>
      <c r="J5" s="642"/>
      <c r="K5" s="637"/>
    </row>
    <row r="6" spans="1:11" ht="15.75" customHeight="1">
      <c r="A6" s="3459" t="str">
        <f>F2</f>
        <v>באורים לדוחות הכספיים</v>
      </c>
      <c r="B6" s="3459"/>
      <c r="C6" s="3459"/>
      <c r="D6" s="3459"/>
      <c r="E6" s="3459"/>
      <c r="F6" s="3459"/>
      <c r="G6" s="3459"/>
      <c r="H6" s="3459"/>
      <c r="I6" s="3459"/>
      <c r="J6" s="642"/>
      <c r="K6" s="637"/>
    </row>
    <row r="7" spans="1:11" ht="15.75" customHeight="1">
      <c r="A7" s="643"/>
      <c r="B7" s="3459" t="str">
        <f>F3</f>
        <v xml:space="preserve">לשנה שנסתיימה ביום 31 בדצמבר 2015 (אלפי ש''ח) </v>
      </c>
      <c r="C7" s="3459"/>
      <c r="D7" s="3459"/>
      <c r="E7" s="3459"/>
      <c r="F7" s="3459"/>
      <c r="G7" s="3459"/>
      <c r="H7" s="3459"/>
      <c r="I7" s="3459"/>
      <c r="J7" s="642"/>
      <c r="K7" s="637"/>
    </row>
    <row r="8" spans="1:11" ht="24" customHeight="1">
      <c r="A8" s="808"/>
      <c r="B8" s="808" t="s">
        <v>560</v>
      </c>
      <c r="C8" s="646"/>
      <c r="D8" s="646"/>
      <c r="E8" s="646"/>
      <c r="F8" s="646"/>
      <c r="G8" s="646"/>
      <c r="H8" s="646"/>
      <c r="I8" s="646"/>
      <c r="J8" s="645"/>
      <c r="K8" s="637"/>
    </row>
    <row r="9" spans="1:11">
      <c r="A9" s="645"/>
      <c r="B9" s="646" t="s">
        <v>486</v>
      </c>
      <c r="C9" s="646" t="s">
        <v>561</v>
      </c>
      <c r="D9" s="646"/>
      <c r="E9" s="646"/>
      <c r="F9" s="646"/>
      <c r="G9" s="646"/>
      <c r="H9" s="646"/>
      <c r="I9" s="646"/>
      <c r="J9" s="645"/>
      <c r="K9" s="637"/>
    </row>
    <row r="10" spans="1:11">
      <c r="A10" s="645"/>
      <c r="B10" s="646"/>
      <c r="C10" s="646" t="s">
        <v>562</v>
      </c>
      <c r="D10" s="646"/>
      <c r="E10" s="646"/>
      <c r="F10" s="646"/>
      <c r="G10" s="646"/>
      <c r="H10" s="646"/>
      <c r="I10" s="646"/>
      <c r="J10" s="645"/>
      <c r="K10" s="637"/>
    </row>
    <row r="11" spans="1:11" ht="9.9" customHeight="1">
      <c r="A11" s="645"/>
      <c r="B11" s="646"/>
      <c r="C11" s="646"/>
      <c r="D11" s="646"/>
      <c r="E11" s="646"/>
      <c r="F11" s="646"/>
      <c r="G11" s="646"/>
      <c r="H11" s="646"/>
      <c r="I11" s="646"/>
      <c r="J11" s="645"/>
      <c r="K11" s="637"/>
    </row>
    <row r="12" spans="1:11">
      <c r="A12" s="645"/>
      <c r="B12" s="646" t="s">
        <v>493</v>
      </c>
      <c r="C12" s="646" t="s">
        <v>563</v>
      </c>
      <c r="D12" s="646"/>
      <c r="E12" s="646"/>
      <c r="F12" s="646"/>
      <c r="G12" s="646"/>
      <c r="H12" s="646"/>
      <c r="I12" s="646"/>
      <c r="J12" s="645"/>
      <c r="K12" s="637"/>
    </row>
    <row r="13" spans="1:11" ht="9.9" customHeight="1">
      <c r="A13" s="645"/>
      <c r="B13" s="646"/>
      <c r="C13" s="646"/>
      <c r="D13" s="646"/>
      <c r="E13" s="646"/>
      <c r="F13" s="646"/>
      <c r="G13" s="646"/>
      <c r="H13" s="646"/>
      <c r="I13" s="646"/>
      <c r="J13" s="645"/>
      <c r="K13" s="637"/>
    </row>
    <row r="14" spans="1:11">
      <c r="A14" s="645"/>
      <c r="B14" s="646" t="s">
        <v>564</v>
      </c>
      <c r="C14" s="646" t="s">
        <v>565</v>
      </c>
      <c r="D14" s="646"/>
      <c r="E14" s="646"/>
      <c r="F14" s="646"/>
      <c r="G14" s="646"/>
      <c r="H14" s="646"/>
      <c r="I14" s="646"/>
      <c r="J14" s="645"/>
      <c r="K14" s="637"/>
    </row>
    <row r="15" spans="1:11">
      <c r="A15" s="645"/>
      <c r="B15" s="646"/>
      <c r="C15" s="646" t="s">
        <v>566</v>
      </c>
      <c r="D15" s="646"/>
      <c r="E15" s="646"/>
      <c r="F15" s="646"/>
      <c r="G15" s="646"/>
      <c r="H15" s="646"/>
      <c r="I15" s="646"/>
      <c r="J15" s="645"/>
      <c r="K15" s="637"/>
    </row>
    <row r="16" spans="1:11">
      <c r="A16" s="645"/>
      <c r="B16" s="646"/>
      <c r="C16" s="646" t="s">
        <v>576</v>
      </c>
      <c r="D16" s="646"/>
      <c r="E16" s="646"/>
      <c r="F16" s="646"/>
      <c r="G16" s="646"/>
      <c r="H16" s="646"/>
      <c r="I16" s="646"/>
      <c r="J16" s="645"/>
      <c r="K16" s="637"/>
    </row>
    <row r="17" spans="1:12">
      <c r="A17" s="645"/>
      <c r="B17" s="646"/>
      <c r="C17" s="646" t="s">
        <v>577</v>
      </c>
      <c r="D17" s="646"/>
      <c r="E17" s="646"/>
      <c r="F17" s="646"/>
      <c r="G17" s="646"/>
      <c r="H17" s="646"/>
      <c r="I17" s="646"/>
      <c r="J17" s="645"/>
      <c r="K17" s="637"/>
    </row>
    <row r="18" spans="1:12">
      <c r="A18" s="645"/>
      <c r="B18" s="646"/>
      <c r="C18" s="646" t="s">
        <v>578</v>
      </c>
      <c r="D18" s="646"/>
      <c r="E18" s="646"/>
      <c r="F18" s="646"/>
      <c r="G18" s="646"/>
      <c r="H18" s="646"/>
      <c r="I18" s="646"/>
      <c r="J18" s="645"/>
      <c r="K18" s="637"/>
    </row>
    <row r="19" spans="1:12" ht="9.9" customHeight="1">
      <c r="A19" s="645"/>
      <c r="B19" s="646"/>
      <c r="C19" s="646"/>
      <c r="D19" s="646"/>
      <c r="E19" s="646"/>
      <c r="F19" s="646"/>
      <c r="G19" s="646"/>
      <c r="H19" s="646"/>
      <c r="I19" s="646"/>
      <c r="J19" s="645"/>
      <c r="K19" s="637"/>
    </row>
    <row r="20" spans="1:12">
      <c r="A20" s="645"/>
      <c r="B20" s="646" t="s">
        <v>579</v>
      </c>
      <c r="C20" s="646" t="s">
        <v>580</v>
      </c>
      <c r="D20" s="646"/>
      <c r="E20" s="646"/>
      <c r="F20" s="646"/>
      <c r="G20" s="646"/>
      <c r="H20" s="646"/>
      <c r="I20" s="646"/>
      <c r="J20" s="645"/>
      <c r="K20" s="637"/>
    </row>
    <row r="21" spans="1:12" ht="9.9" customHeight="1">
      <c r="A21" s="645"/>
      <c r="B21" s="646"/>
      <c r="C21" s="646"/>
      <c r="D21" s="646"/>
      <c r="E21" s="645"/>
      <c r="F21" s="645"/>
      <c r="G21" s="645"/>
      <c r="H21" s="645"/>
      <c r="I21" s="645"/>
      <c r="J21" s="645"/>
      <c r="K21" s="637"/>
    </row>
    <row r="22" spans="1:12">
      <c r="A22" s="645"/>
      <c r="B22" s="646"/>
      <c r="C22" s="646"/>
      <c r="D22" s="646"/>
      <c r="E22" s="645"/>
      <c r="F22" s="647"/>
      <c r="G22" s="648">
        <f>'נתונים משותפים'!D29</f>
        <v>2015</v>
      </c>
      <c r="H22" s="649">
        <f>'נתונים משותפים'!E29</f>
        <v>2014</v>
      </c>
      <c r="I22" s="650">
        <f>'נתונים משותפים'!F29</f>
        <v>2013</v>
      </c>
      <c r="J22" s="645"/>
      <c r="K22" s="651"/>
      <c r="L22" s="652"/>
    </row>
    <row r="23" spans="1:12" ht="9.9" customHeight="1">
      <c r="A23" s="645"/>
      <c r="B23" s="656"/>
      <c r="C23" s="656"/>
      <c r="D23" s="656"/>
      <c r="E23" s="653"/>
      <c r="F23" s="653"/>
      <c r="G23" s="654"/>
      <c r="H23" s="653"/>
      <c r="I23" s="655"/>
      <c r="J23" s="645"/>
      <c r="K23" s="637"/>
    </row>
    <row r="24" spans="1:12">
      <c r="A24" s="645"/>
      <c r="B24" s="656"/>
      <c r="C24" s="656" t="s">
        <v>581</v>
      </c>
      <c r="D24" s="656"/>
      <c r="E24" s="653"/>
      <c r="F24" s="653"/>
      <c r="G24" s="657">
        <f>'נתונים משותפים'!D31</f>
        <v>3.9049999999999998</v>
      </c>
      <c r="H24" s="653">
        <f>'נתונים משותפים'!F31</f>
        <v>3.4710000000000001</v>
      </c>
      <c r="I24" s="655" t="e">
        <f>'נתונים משותפים'!#REF!</f>
        <v>#REF!</v>
      </c>
      <c r="J24" s="653"/>
      <c r="K24" s="658"/>
      <c r="L24" s="659"/>
    </row>
    <row r="25" spans="1:12">
      <c r="A25" s="645"/>
      <c r="B25" s="656"/>
      <c r="C25" s="656" t="s">
        <v>582</v>
      </c>
      <c r="D25" s="656"/>
      <c r="E25" s="653"/>
      <c r="F25" s="653"/>
      <c r="G25" s="657">
        <f>'נתונים משותפים'!E32</f>
        <v>223.36</v>
      </c>
      <c r="H25" s="653">
        <f>'נתונים משותפים'!F32</f>
        <v>223.8</v>
      </c>
      <c r="I25" s="655" t="e">
        <f>'נתונים משותפים'!#REF!</f>
        <v>#REF!</v>
      </c>
      <c r="J25" s="653"/>
      <c r="K25" s="660"/>
    </row>
    <row r="26" spans="1:12">
      <c r="A26" s="645"/>
      <c r="B26" s="656"/>
      <c r="C26" s="656" t="s">
        <v>583</v>
      </c>
      <c r="D26" s="656"/>
      <c r="E26" s="653"/>
      <c r="F26" s="653"/>
      <c r="G26" s="661">
        <f>'נתונים משותפים'!E33</f>
        <v>0.12042639008931144</v>
      </c>
      <c r="H26" s="662">
        <f>'נתונים משותפים'!F33</f>
        <v>7.6600000000000001E-2</v>
      </c>
      <c r="I26" s="663" t="e">
        <f>'נתונים משותפים'!#REF!</f>
        <v>#REF!</v>
      </c>
      <c r="J26" s="664"/>
      <c r="K26" s="658"/>
      <c r="L26" s="659"/>
    </row>
    <row r="27" spans="1:12">
      <c r="A27" s="645"/>
      <c r="B27" s="656"/>
      <c r="C27" s="656" t="s">
        <v>584</v>
      </c>
      <c r="D27" s="656"/>
      <c r="E27" s="653"/>
      <c r="F27" s="653"/>
      <c r="G27" s="665">
        <f>'נתונים משותפים'!E34</f>
        <v>-1.9660411081322549E-3</v>
      </c>
      <c r="H27" s="666">
        <f>'נתונים משותפים'!F34</f>
        <v>2.1732000000000001E-2</v>
      </c>
      <c r="I27" s="667" t="e">
        <f>'נתונים משותפים'!#REF!</f>
        <v>#REF!</v>
      </c>
      <c r="J27" s="664"/>
      <c r="K27" s="660"/>
    </row>
    <row r="28" spans="1:12" ht="11.25" customHeight="1">
      <c r="A28" s="645"/>
      <c r="B28" s="646"/>
      <c r="C28" s="646"/>
      <c r="D28" s="646"/>
      <c r="E28" s="645"/>
      <c r="F28" s="645"/>
      <c r="G28" s="668"/>
      <c r="H28" s="668"/>
      <c r="I28" s="668"/>
      <c r="J28" s="669"/>
      <c r="K28" s="660"/>
    </row>
    <row r="29" spans="1:12" ht="22.5" customHeight="1">
      <c r="A29" s="645"/>
      <c r="B29" s="646" t="s">
        <v>585</v>
      </c>
      <c r="C29" s="646" t="s">
        <v>12</v>
      </c>
      <c r="D29" s="646"/>
      <c r="E29" s="646"/>
      <c r="F29" s="646"/>
      <c r="G29" s="2751"/>
      <c r="H29" s="2751"/>
      <c r="I29" s="2751"/>
      <c r="J29" s="669"/>
      <c r="K29" s="660"/>
    </row>
    <row r="30" spans="1:12">
      <c r="A30" s="645"/>
      <c r="B30" s="646"/>
      <c r="C30" s="646"/>
      <c r="D30" s="646"/>
      <c r="E30" s="646"/>
      <c r="F30" s="646"/>
      <c r="G30" s="2751"/>
      <c r="H30" s="2751"/>
      <c r="I30" s="2751"/>
      <c r="J30" s="669"/>
      <c r="K30" s="660"/>
    </row>
    <row r="31" spans="1:12">
      <c r="A31" s="645"/>
      <c r="B31" s="646" t="s">
        <v>586</v>
      </c>
      <c r="C31" s="646" t="s">
        <v>587</v>
      </c>
      <c r="D31" s="646"/>
      <c r="E31" s="646"/>
      <c r="F31" s="646"/>
      <c r="G31" s="646"/>
      <c r="H31" s="646"/>
      <c r="I31" s="646"/>
      <c r="J31" s="645"/>
      <c r="K31" s="637"/>
    </row>
    <row r="32" spans="1:12">
      <c r="A32" s="645"/>
      <c r="B32" s="646"/>
      <c r="C32" s="646" t="s">
        <v>588</v>
      </c>
      <c r="D32" s="646"/>
      <c r="E32" s="646"/>
      <c r="F32" s="646"/>
      <c r="G32" s="646"/>
      <c r="H32" s="646"/>
      <c r="I32" s="646"/>
      <c r="J32" s="645"/>
      <c r="K32" s="637"/>
    </row>
    <row r="33" spans="1:11">
      <c r="A33" s="645"/>
      <c r="B33" s="646"/>
      <c r="C33" s="646" t="s">
        <v>589</v>
      </c>
      <c r="D33" s="646"/>
      <c r="E33" s="646"/>
      <c r="F33" s="646"/>
      <c r="G33" s="646"/>
      <c r="H33" s="646"/>
      <c r="I33" s="646"/>
      <c r="J33" s="645"/>
      <c r="K33" s="637"/>
    </row>
    <row r="34" spans="1:11">
      <c r="A34" s="645"/>
      <c r="B34" s="646"/>
      <c r="C34" s="646" t="s">
        <v>13</v>
      </c>
      <c r="D34" s="646"/>
      <c r="E34" s="646"/>
      <c r="F34" s="646"/>
      <c r="G34" s="646"/>
      <c r="H34" s="646"/>
      <c r="I34" s="646"/>
      <c r="J34" s="645"/>
      <c r="K34" s="637"/>
    </row>
    <row r="35" spans="1:11">
      <c r="A35" s="645"/>
      <c r="B35" s="646"/>
      <c r="C35" s="646"/>
      <c r="D35" s="646"/>
      <c r="E35" s="646"/>
      <c r="F35" s="646"/>
      <c r="G35" s="646"/>
      <c r="H35" s="646"/>
      <c r="I35" s="646"/>
      <c r="J35" s="645"/>
      <c r="K35" s="637"/>
    </row>
    <row r="36" spans="1:11">
      <c r="A36" s="808"/>
      <c r="B36" s="808" t="s">
        <v>590</v>
      </c>
      <c r="C36" s="646"/>
      <c r="D36" s="646"/>
      <c r="E36" s="646"/>
      <c r="F36" s="646"/>
      <c r="G36" s="646"/>
      <c r="H36" s="646"/>
      <c r="I36" s="646"/>
      <c r="J36" s="645"/>
      <c r="K36" s="637"/>
    </row>
    <row r="37" spans="1:11" ht="9.9" customHeight="1">
      <c r="A37" s="645"/>
      <c r="B37" s="646"/>
      <c r="C37" s="646"/>
      <c r="D37" s="646"/>
      <c r="E37" s="646"/>
      <c r="F37" s="646"/>
      <c r="G37" s="646"/>
      <c r="H37" s="646"/>
      <c r="I37" s="646"/>
      <c r="J37" s="645"/>
      <c r="K37" s="637"/>
    </row>
    <row r="38" spans="1:11" ht="15.75" customHeight="1">
      <c r="A38" s="645"/>
      <c r="B38" s="646"/>
      <c r="C38" s="646" t="s">
        <v>591</v>
      </c>
      <c r="D38" s="646"/>
      <c r="E38" s="646"/>
      <c r="F38" s="646"/>
      <c r="G38" s="646"/>
      <c r="H38" s="646"/>
      <c r="I38" s="646"/>
      <c r="J38" s="645"/>
      <c r="K38" s="637"/>
    </row>
    <row r="39" spans="1:11" ht="15.75" customHeight="1">
      <c r="A39" s="645"/>
      <c r="B39" s="646"/>
      <c r="C39" s="646" t="s">
        <v>592</v>
      </c>
      <c r="D39" s="646"/>
      <c r="E39" s="646"/>
      <c r="F39" s="646"/>
      <c r="G39" s="646"/>
      <c r="H39" s="646"/>
      <c r="I39" s="646"/>
      <c r="J39" s="645"/>
      <c r="K39" s="637"/>
    </row>
    <row r="40" spans="1:11">
      <c r="A40" s="645"/>
      <c r="B40" s="646"/>
      <c r="C40" s="646" t="s">
        <v>593</v>
      </c>
      <c r="D40" s="646"/>
      <c r="E40" s="646"/>
      <c r="F40" s="646"/>
      <c r="G40" s="646"/>
      <c r="H40" s="646"/>
      <c r="I40" s="646"/>
      <c r="J40" s="645"/>
      <c r="K40" s="637"/>
    </row>
    <row r="41" spans="1:11" ht="9.9" customHeight="1">
      <c r="A41" s="645"/>
      <c r="B41" s="646"/>
      <c r="C41" s="646"/>
      <c r="D41" s="646"/>
      <c r="E41" s="646"/>
      <c r="F41" s="646"/>
      <c r="G41" s="646"/>
      <c r="H41" s="646"/>
      <c r="I41" s="646"/>
      <c r="J41" s="645"/>
      <c r="K41" s="637"/>
    </row>
    <row r="42" spans="1:11">
      <c r="A42" s="645"/>
      <c r="B42" s="2596" t="s">
        <v>486</v>
      </c>
      <c r="C42" s="808" t="s">
        <v>625</v>
      </c>
      <c r="D42" s="646"/>
      <c r="E42" s="646"/>
      <c r="F42" s="646"/>
      <c r="G42" s="646"/>
      <c r="H42" s="646"/>
      <c r="I42" s="646"/>
      <c r="J42" s="645"/>
      <c r="K42" s="637"/>
    </row>
    <row r="43" spans="1:11" ht="9.9" customHeight="1">
      <c r="A43" s="645"/>
      <c r="B43" s="646"/>
      <c r="C43" s="646"/>
      <c r="D43" s="646"/>
      <c r="E43" s="646"/>
      <c r="F43" s="646"/>
      <c r="G43" s="646"/>
      <c r="H43" s="646"/>
      <c r="I43" s="646"/>
      <c r="J43" s="645"/>
      <c r="K43" s="637"/>
    </row>
    <row r="44" spans="1:11">
      <c r="A44" s="645"/>
      <c r="B44" s="646"/>
      <c r="C44" s="646" t="s">
        <v>626</v>
      </c>
      <c r="D44" s="646"/>
      <c r="E44" s="646"/>
      <c r="F44" s="646"/>
      <c r="G44" s="646"/>
      <c r="H44" s="646"/>
      <c r="I44" s="646"/>
      <c r="J44" s="645"/>
      <c r="K44" s="637"/>
    </row>
    <row r="45" spans="1:11">
      <c r="A45" s="645"/>
      <c r="B45" s="646"/>
      <c r="C45" s="3765" t="s">
        <v>627</v>
      </c>
      <c r="D45" s="3765"/>
      <c r="E45" s="3765"/>
      <c r="F45" s="3765"/>
      <c r="G45" s="3765"/>
      <c r="H45" s="3765"/>
      <c r="I45" s="3765"/>
      <c r="J45" s="645"/>
      <c r="K45" s="637"/>
    </row>
    <row r="46" spans="1:11" ht="9.9" customHeight="1">
      <c r="A46" s="645"/>
      <c r="B46" s="646"/>
      <c r="C46" s="646"/>
      <c r="D46" s="646"/>
      <c r="E46" s="646"/>
      <c r="F46" s="646"/>
      <c r="G46" s="646"/>
      <c r="H46" s="646"/>
      <c r="I46" s="646"/>
      <c r="J46" s="645"/>
      <c r="K46" s="637"/>
    </row>
    <row r="47" spans="1:11">
      <c r="A47" s="645"/>
      <c r="B47" s="2596" t="s">
        <v>493</v>
      </c>
      <c r="C47" s="808" t="s">
        <v>628</v>
      </c>
      <c r="D47" s="646"/>
      <c r="E47" s="646"/>
      <c r="F47" s="646"/>
      <c r="G47" s="646"/>
      <c r="H47" s="646"/>
      <c r="I47" s="646"/>
      <c r="J47" s="645"/>
      <c r="K47" s="637"/>
    </row>
    <row r="48" spans="1:11" ht="9.9" customHeight="1">
      <c r="A48" s="645"/>
      <c r="B48" s="646"/>
      <c r="C48" s="646"/>
      <c r="D48" s="646"/>
      <c r="E48" s="646"/>
      <c r="F48" s="646"/>
      <c r="G48" s="646"/>
      <c r="H48" s="646"/>
      <c r="I48" s="646"/>
      <c r="J48" s="645"/>
      <c r="K48" s="637"/>
    </row>
    <row r="49" spans="1:11">
      <c r="A49" s="645"/>
      <c r="B49" s="2597" t="s">
        <v>629</v>
      </c>
      <c r="C49" s="646" t="s">
        <v>630</v>
      </c>
      <c r="D49" s="646"/>
      <c r="E49" s="646"/>
      <c r="F49" s="646"/>
      <c r="G49" s="646"/>
      <c r="H49" s="646"/>
      <c r="I49" s="646"/>
      <c r="J49" s="645"/>
      <c r="K49" s="637"/>
    </row>
    <row r="50" spans="1:11" ht="9.9" customHeight="1">
      <c r="A50" s="645"/>
      <c r="B50" s="2597"/>
      <c r="C50" s="646"/>
      <c r="D50" s="646"/>
      <c r="E50" s="646"/>
      <c r="F50" s="646"/>
      <c r="G50" s="646"/>
      <c r="H50" s="646"/>
      <c r="I50" s="646"/>
      <c r="J50" s="645"/>
      <c r="K50" s="637"/>
    </row>
    <row r="51" spans="1:11">
      <c r="A51" s="645"/>
      <c r="B51" s="2597" t="s">
        <v>631</v>
      </c>
      <c r="C51" s="646" t="s">
        <v>632</v>
      </c>
      <c r="D51" s="646"/>
      <c r="E51" s="646"/>
      <c r="F51" s="646"/>
      <c r="G51" s="646"/>
      <c r="H51" s="646"/>
      <c r="I51" s="646"/>
      <c r="J51" s="645"/>
      <c r="K51" s="637"/>
    </row>
    <row r="52" spans="1:11">
      <c r="A52" s="645"/>
      <c r="B52" s="2597"/>
      <c r="C52" s="646" t="s">
        <v>633</v>
      </c>
      <c r="D52" s="646"/>
      <c r="E52" s="646"/>
      <c r="F52" s="646"/>
      <c r="G52" s="646"/>
      <c r="H52" s="646"/>
      <c r="I52" s="646"/>
      <c r="J52" s="645"/>
      <c r="K52" s="637"/>
    </row>
    <row r="53" spans="1:11">
      <c r="A53" s="645"/>
      <c r="B53" s="2597"/>
      <c r="C53" s="646" t="s">
        <v>634</v>
      </c>
      <c r="D53" s="646"/>
      <c r="E53" s="646"/>
      <c r="F53" s="646"/>
      <c r="G53" s="646"/>
      <c r="H53" s="646"/>
      <c r="I53" s="646"/>
      <c r="J53" s="645"/>
      <c r="K53" s="637"/>
    </row>
    <row r="54" spans="1:11" ht="9.9" customHeight="1">
      <c r="A54" s="645"/>
      <c r="B54" s="2597"/>
      <c r="C54" s="646"/>
      <c r="D54" s="646"/>
      <c r="E54" s="646"/>
      <c r="F54" s="646"/>
      <c r="G54" s="646"/>
      <c r="H54" s="646"/>
      <c r="I54" s="646"/>
      <c r="J54" s="645"/>
      <c r="K54" s="637"/>
    </row>
    <row r="55" spans="1:11">
      <c r="A55" s="645"/>
      <c r="B55" s="2597" t="s">
        <v>635</v>
      </c>
      <c r="C55" s="646" t="s">
        <v>636</v>
      </c>
      <c r="D55" s="646"/>
      <c r="E55" s="646"/>
      <c r="F55" s="646"/>
      <c r="G55" s="646"/>
      <c r="H55" s="646"/>
      <c r="I55" s="646"/>
      <c r="J55" s="645"/>
      <c r="K55" s="637"/>
    </row>
    <row r="56" spans="1:11">
      <c r="A56" s="645"/>
      <c r="B56" s="2597"/>
      <c r="C56" s="646" t="s">
        <v>640</v>
      </c>
      <c r="D56" s="646"/>
      <c r="E56" s="646"/>
      <c r="F56" s="646"/>
      <c r="G56" s="646"/>
      <c r="H56" s="646"/>
      <c r="I56" s="646"/>
      <c r="J56" s="645"/>
      <c r="K56" s="637"/>
    </row>
    <row r="57" spans="1:11" ht="9.9" customHeight="1">
      <c r="A57" s="645"/>
      <c r="B57" s="2597"/>
      <c r="C57" s="646"/>
      <c r="D57" s="646"/>
      <c r="E57" s="646"/>
      <c r="F57" s="646"/>
      <c r="G57" s="646"/>
      <c r="H57" s="646"/>
      <c r="I57" s="646"/>
      <c r="J57" s="645"/>
      <c r="K57" s="637"/>
    </row>
    <row r="58" spans="1:11">
      <c r="A58" s="645"/>
      <c r="B58" s="2597" t="s">
        <v>641</v>
      </c>
      <c r="C58" s="646" t="s">
        <v>643</v>
      </c>
      <c r="D58" s="646"/>
      <c r="E58" s="646"/>
      <c r="F58" s="646"/>
      <c r="G58" s="646"/>
      <c r="H58" s="646"/>
      <c r="I58" s="646"/>
      <c r="J58" s="645"/>
      <c r="K58" s="637"/>
    </row>
    <row r="59" spans="1:11">
      <c r="A59" s="645"/>
      <c r="B59" s="2597"/>
      <c r="C59" s="646" t="s">
        <v>644</v>
      </c>
      <c r="D59" s="646"/>
      <c r="E59" s="646"/>
      <c r="F59" s="646"/>
      <c r="G59" s="646"/>
      <c r="H59" s="646"/>
      <c r="I59" s="646"/>
      <c r="J59" s="645"/>
      <c r="K59" s="637"/>
    </row>
    <row r="60" spans="1:11" ht="9.9" customHeight="1">
      <c r="A60" s="645"/>
      <c r="B60" s="2597"/>
      <c r="C60" s="646"/>
      <c r="D60" s="646"/>
      <c r="E60" s="646"/>
      <c r="F60" s="646"/>
      <c r="G60" s="646"/>
      <c r="H60" s="646"/>
      <c r="I60" s="646"/>
      <c r="J60" s="645"/>
      <c r="K60" s="637"/>
    </row>
    <row r="61" spans="1:11">
      <c r="A61" s="645"/>
      <c r="B61" s="2597" t="s">
        <v>645</v>
      </c>
      <c r="C61" s="646" t="s">
        <v>646</v>
      </c>
      <c r="D61" s="646"/>
      <c r="E61" s="646"/>
      <c r="F61" s="646"/>
      <c r="G61" s="646"/>
      <c r="H61" s="646"/>
      <c r="I61" s="646"/>
      <c r="J61" s="645"/>
      <c r="K61" s="637"/>
    </row>
    <row r="62" spans="1:11">
      <c r="A62" s="645"/>
      <c r="B62" s="2597"/>
      <c r="C62" s="646"/>
      <c r="D62" s="646"/>
      <c r="E62" s="646"/>
      <c r="F62" s="646"/>
      <c r="G62" s="646"/>
      <c r="H62" s="646"/>
      <c r="I62" s="646"/>
      <c r="J62" s="645"/>
      <c r="K62" s="637"/>
    </row>
    <row r="63" spans="1:11">
      <c r="A63" s="645"/>
      <c r="B63" s="2597" t="s">
        <v>647</v>
      </c>
      <c r="C63" s="646" t="s">
        <v>648</v>
      </c>
      <c r="D63" s="646"/>
      <c r="E63" s="646"/>
      <c r="F63" s="646"/>
      <c r="G63" s="646"/>
      <c r="H63" s="646"/>
      <c r="I63" s="646"/>
      <c r="J63" s="645"/>
      <c r="K63" s="637"/>
    </row>
    <row r="64" spans="1:11">
      <c r="A64" s="645"/>
      <c r="B64" s="2597"/>
      <c r="C64" s="646"/>
      <c r="D64" s="646"/>
      <c r="E64" s="646"/>
      <c r="F64" s="646"/>
      <c r="G64" s="646"/>
      <c r="H64" s="646"/>
      <c r="I64" s="646"/>
      <c r="J64" s="645"/>
      <c r="K64" s="637"/>
    </row>
    <row r="65" spans="1:11">
      <c r="A65" s="645"/>
      <c r="B65" s="2597" t="s">
        <v>649</v>
      </c>
      <c r="C65" s="646" t="s">
        <v>650</v>
      </c>
      <c r="D65" s="646"/>
      <c r="E65" s="646"/>
      <c r="F65" s="646"/>
      <c r="G65" s="646"/>
      <c r="H65" s="646"/>
      <c r="I65" s="646"/>
      <c r="J65" s="645"/>
      <c r="K65" s="637"/>
    </row>
    <row r="66" spans="1:11" ht="12.9" customHeight="1">
      <c r="A66" s="645"/>
      <c r="B66" s="646"/>
      <c r="C66" s="646"/>
      <c r="D66" s="646"/>
      <c r="E66" s="646"/>
      <c r="F66" s="646"/>
      <c r="G66" s="646"/>
      <c r="H66" s="646"/>
      <c r="I66" s="646"/>
      <c r="J66" s="645"/>
      <c r="K66" s="637"/>
    </row>
    <row r="67" spans="1:11" ht="12.9" customHeight="1">
      <c r="A67" s="645"/>
      <c r="B67" s="646"/>
      <c r="C67" s="646"/>
      <c r="D67" s="646"/>
      <c r="E67" s="646"/>
      <c r="F67" s="646"/>
      <c r="G67" s="646"/>
      <c r="H67" s="646"/>
      <c r="I67" s="646"/>
      <c r="J67" s="645"/>
      <c r="K67" s="637"/>
    </row>
    <row r="68" spans="1:11" ht="12.9" customHeight="1">
      <c r="A68" s="645"/>
      <c r="B68" s="646"/>
      <c r="C68" s="646"/>
      <c r="D68" s="646"/>
      <c r="E68" s="646"/>
      <c r="F68" s="646"/>
      <c r="G68" s="646"/>
      <c r="H68" s="646"/>
      <c r="I68" s="646"/>
      <c r="J68" s="645"/>
      <c r="K68" s="637"/>
    </row>
    <row r="69" spans="1:11" ht="12.9" customHeight="1">
      <c r="A69" s="645"/>
      <c r="B69" s="646"/>
      <c r="C69" s="646"/>
      <c r="D69" s="646"/>
      <c r="E69" s="646"/>
      <c r="F69" s="646"/>
      <c r="G69" s="646"/>
      <c r="H69" s="646"/>
      <c r="I69" s="646"/>
      <c r="J69" s="645"/>
      <c r="K69" s="637"/>
    </row>
    <row r="70" spans="1:11" ht="12.9" customHeight="1">
      <c r="A70" s="645"/>
      <c r="B70" s="646"/>
      <c r="C70" s="646"/>
      <c r="D70" s="646"/>
      <c r="E70" s="646"/>
      <c r="F70" s="646"/>
      <c r="G70" s="646"/>
      <c r="H70" s="646"/>
      <c r="I70" s="646"/>
      <c r="J70" s="645"/>
      <c r="K70" s="637"/>
    </row>
    <row r="71" spans="1:11" ht="12.9" customHeight="1">
      <c r="A71" s="645"/>
      <c r="B71" s="646"/>
      <c r="C71" s="646"/>
      <c r="D71" s="646"/>
      <c r="E71" s="646"/>
      <c r="F71" s="646"/>
      <c r="G71" s="646"/>
      <c r="H71" s="646"/>
      <c r="I71" s="646"/>
      <c r="J71" s="645"/>
      <c r="K71" s="637"/>
    </row>
    <row r="72" spans="1:11" ht="13.8" thickBot="1">
      <c r="A72" s="645"/>
      <c r="B72" s="646"/>
      <c r="C72" s="646"/>
      <c r="D72" s="646"/>
      <c r="E72" s="645"/>
      <c r="F72" s="645"/>
      <c r="G72" s="645"/>
      <c r="H72" s="645"/>
      <c r="I72" s="645"/>
      <c r="J72" s="645"/>
      <c r="K72" s="637"/>
    </row>
    <row r="73" spans="1:11" ht="13.8" thickTop="1">
      <c r="A73" s="671"/>
      <c r="B73" s="671"/>
      <c r="C73" s="671"/>
      <c r="D73" s="671"/>
      <c r="E73" s="671"/>
      <c r="F73" s="671"/>
      <c r="G73" s="671"/>
      <c r="H73" s="671"/>
      <c r="I73" s="671"/>
      <c r="J73" s="671"/>
    </row>
  </sheetData>
  <sheetProtection password="83C1" sheet="1" objects="1" scenarios="1"/>
  <mergeCells count="7">
    <mergeCell ref="C45:I45"/>
    <mergeCell ref="F2:J2"/>
    <mergeCell ref="F1:J1"/>
    <mergeCell ref="B7:I7"/>
    <mergeCell ref="A5:I5"/>
    <mergeCell ref="A6:I6"/>
    <mergeCell ref="F3:J3"/>
  </mergeCells>
  <phoneticPr fontId="4" type="noConversion"/>
  <hyperlinks>
    <hyperlink ref="A4" location="'תוכן הענינים'!A1" tooltip="לחץ להצגת גליון תוכן הענינים" display="הצג תוכן ענינים"/>
  </hyperlinks>
  <printOptions horizontalCentered="1"/>
  <pageMargins left="0" right="0" top="0.53" bottom="0.7" header="0.31" footer="0.511811023622047"/>
  <pageSetup paperSize="9" scale="89" orientation="portrait" blackAndWhite="1" horizontalDpi="300" verticalDpi="300" r:id="rId1"/>
  <headerFooter alignWithMargins="0">
    <oddHeader>&amp;L&amp;8&amp;A</oddHeader>
    <oddFooter>&amp;L &amp;C&amp;8 &amp;P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
    <pageSetUpPr autoPageBreaks="0"/>
  </sheetPr>
  <dimension ref="A1:U162"/>
  <sheetViews>
    <sheetView showGridLines="0" showRowColHeaders="0" showZeros="0" rightToLeft="1" showOutlineSymbols="0" topLeftCell="A4" zoomScale="85" zoomScaleNormal="85" zoomScaleSheetLayoutView="85" workbookViewId="0">
      <selection activeCell="A5" sqref="A5"/>
    </sheetView>
  </sheetViews>
  <sheetFormatPr defaultColWidth="9.109375" defaultRowHeight="13.2"/>
  <cols>
    <col min="1" max="1" width="1.6640625" style="179" customWidth="1"/>
    <col min="2" max="2" width="9.109375" style="179"/>
    <col min="3" max="3" width="13.5546875" style="179" customWidth="1"/>
    <col min="4" max="4" width="4.33203125" style="179" customWidth="1"/>
    <col min="5" max="5" width="10.33203125" style="179" customWidth="1"/>
    <col min="6" max="6" width="1.44140625" style="179" customWidth="1"/>
    <col min="7" max="7" width="10.33203125" style="179" customWidth="1"/>
    <col min="8" max="8" width="1.44140625" style="179" customWidth="1"/>
    <col min="9" max="9" width="10.33203125" style="179" customWidth="1"/>
    <col min="10" max="10" width="2.6640625" style="179" customWidth="1"/>
    <col min="11" max="11" width="2.44140625" style="179" customWidth="1"/>
    <col min="12" max="12" width="23.44140625" style="179" customWidth="1"/>
    <col min="13" max="13" width="4.44140625" style="179" customWidth="1"/>
    <col min="14" max="14" width="10.33203125" style="179" customWidth="1"/>
    <col min="15" max="15" width="1.44140625" style="179" customWidth="1"/>
    <col min="16" max="16" width="10.33203125" style="179" customWidth="1"/>
    <col min="17" max="17" width="1.44140625" style="179" customWidth="1"/>
    <col min="18" max="18" width="10.33203125" style="179" customWidth="1"/>
    <col min="19" max="19" width="2.44140625" style="179" customWidth="1"/>
    <col min="20" max="20" width="9.109375" style="290"/>
    <col min="21" max="16384" width="9.109375" style="179"/>
  </cols>
  <sheetData>
    <row r="1" spans="1:21" ht="7.5" customHeight="1">
      <c r="A1" s="175"/>
      <c r="B1" s="175"/>
      <c r="C1" s="175"/>
      <c r="D1" s="175"/>
      <c r="E1" s="175"/>
      <c r="F1" s="175"/>
      <c r="G1" s="175"/>
      <c r="H1" s="175"/>
      <c r="I1" s="175"/>
      <c r="J1" s="175"/>
      <c r="K1" s="176"/>
      <c r="L1" s="176"/>
      <c r="M1" s="176"/>
      <c r="N1" s="176"/>
      <c r="O1" s="176"/>
      <c r="P1" s="176"/>
      <c r="Q1" s="176"/>
      <c r="R1" s="176"/>
      <c r="S1" s="175"/>
      <c r="T1" s="177"/>
      <c r="U1" s="178"/>
    </row>
    <row r="2" spans="1:21" ht="17.399999999999999">
      <c r="A2" s="180"/>
      <c r="B2" s="181"/>
      <c r="C2" s="181"/>
      <c r="D2" s="182"/>
      <c r="E2" s="182"/>
      <c r="F2" s="182"/>
      <c r="G2" s="3394" t="str">
        <f>'הגדרות כלליות'!D6</f>
        <v>עירית הרצליה</v>
      </c>
      <c r="H2" s="3395"/>
      <c r="I2" s="3395"/>
      <c r="J2" s="3395"/>
      <c r="K2" s="3395"/>
      <c r="L2" s="3395"/>
      <c r="M2" s="3395"/>
      <c r="N2" s="3395"/>
      <c r="O2" s="3396"/>
      <c r="P2" s="3396"/>
      <c r="Q2" s="3396"/>
      <c r="R2" s="3396"/>
      <c r="S2" s="175"/>
      <c r="T2" s="177"/>
      <c r="U2" s="178"/>
    </row>
    <row r="3" spans="1:21" ht="13.5" customHeight="1">
      <c r="A3" s="183"/>
      <c r="B3" s="181"/>
      <c r="C3" s="184"/>
      <c r="D3" s="185"/>
      <c r="E3" s="186"/>
      <c r="F3" s="186"/>
      <c r="G3" s="3394" t="s">
        <v>391</v>
      </c>
      <c r="H3" s="3395"/>
      <c r="I3" s="3395"/>
      <c r="J3" s="3395"/>
      <c r="K3" s="3395"/>
      <c r="L3" s="3395"/>
      <c r="M3" s="3395"/>
      <c r="N3" s="3395"/>
      <c r="O3" s="3396"/>
      <c r="P3" s="3396"/>
      <c r="Q3" s="3396"/>
      <c r="R3" s="3396"/>
      <c r="S3" s="175"/>
      <c r="T3" s="177"/>
      <c r="U3" s="178"/>
    </row>
    <row r="4" spans="1:21" ht="15.75" customHeight="1">
      <c r="A4" s="183"/>
      <c r="B4" s="183"/>
      <c r="C4" s="183"/>
      <c r="D4" s="187"/>
      <c r="E4" s="187"/>
      <c r="F4" s="187"/>
      <c r="G4" s="3405" t="str">
        <f>CONCATENATE("לשנה שנסתיימה ביום 31 בדצמבר ",'הגדרות כלליות'!D10, " (אלפי ש''ח) ")</f>
        <v xml:space="preserve">לשנה שנסתיימה ביום 31 בדצמבר 2015 (אלפי ש''ח) </v>
      </c>
      <c r="H4" s="3405"/>
      <c r="I4" s="3405"/>
      <c r="J4" s="3405"/>
      <c r="K4" s="3405"/>
      <c r="L4" s="3405"/>
      <c r="M4" s="3405"/>
      <c r="N4" s="3405"/>
      <c r="O4" s="3396"/>
      <c r="P4" s="3396"/>
      <c r="Q4" s="3396"/>
      <c r="R4" s="3396"/>
      <c r="S4" s="175"/>
      <c r="T4" s="177"/>
      <c r="U4" s="178"/>
    </row>
    <row r="5" spans="1:21" ht="26.25" customHeight="1">
      <c r="A5" s="188" t="s">
        <v>339</v>
      </c>
      <c r="B5" s="189"/>
      <c r="C5" s="190"/>
      <c r="D5" s="191"/>
      <c r="E5" s="191"/>
      <c r="F5" s="192"/>
      <c r="G5" s="3408"/>
      <c r="H5" s="3409"/>
      <c r="I5" s="3409"/>
      <c r="J5" s="3409"/>
      <c r="K5" s="3409"/>
      <c r="L5" s="3409"/>
      <c r="M5" s="191"/>
      <c r="N5" s="191"/>
      <c r="O5" s="194"/>
      <c r="P5" s="194"/>
      <c r="Q5" s="194"/>
      <c r="R5" s="195"/>
      <c r="S5" s="195"/>
      <c r="T5" s="196"/>
      <c r="U5" s="178"/>
    </row>
    <row r="6" spans="1:21" ht="21.75" customHeight="1">
      <c r="A6" s="197"/>
      <c r="B6" s="198"/>
      <c r="C6" s="199"/>
      <c r="D6" s="199" t="s">
        <v>392</v>
      </c>
      <c r="E6" s="199"/>
      <c r="F6" s="199"/>
      <c r="G6" s="198"/>
      <c r="H6" s="199"/>
      <c r="I6" s="198"/>
      <c r="J6" s="200"/>
      <c r="K6" s="201"/>
      <c r="L6" s="198"/>
      <c r="M6" s="199" t="s">
        <v>393</v>
      </c>
      <c r="N6" s="199"/>
      <c r="O6" s="199"/>
      <c r="P6" s="199"/>
      <c r="Q6" s="199"/>
      <c r="R6" s="202"/>
      <c r="S6" s="2942"/>
      <c r="T6" s="196"/>
      <c r="U6" s="178"/>
    </row>
    <row r="7" spans="1:21">
      <c r="A7" s="203"/>
      <c r="B7" s="3400" t="s">
        <v>394</v>
      </c>
      <c r="C7" s="3401"/>
      <c r="D7" s="3398" t="s">
        <v>341</v>
      </c>
      <c r="E7" s="205" t="s">
        <v>395</v>
      </c>
      <c r="F7" s="206"/>
      <c r="G7" s="207" t="s">
        <v>396</v>
      </c>
      <c r="H7" s="206"/>
      <c r="I7" s="204" t="s">
        <v>396</v>
      </c>
      <c r="J7" s="207"/>
      <c r="K7" s="208"/>
      <c r="L7" s="3406" t="s">
        <v>394</v>
      </c>
      <c r="M7" s="3398" t="s">
        <v>341</v>
      </c>
      <c r="N7" s="205" t="s">
        <v>395</v>
      </c>
      <c r="O7" s="206"/>
      <c r="P7" s="207" t="s">
        <v>396</v>
      </c>
      <c r="Q7" s="206"/>
      <c r="R7" s="204" t="s">
        <v>396</v>
      </c>
      <c r="S7" s="2943"/>
      <c r="T7" s="196"/>
      <c r="U7" s="178"/>
    </row>
    <row r="8" spans="1:21">
      <c r="A8" s="209"/>
      <c r="B8" s="3402"/>
      <c r="C8" s="3403"/>
      <c r="D8" s="3404"/>
      <c r="E8" s="210">
        <f>'הגדרות כלליות'!D10</f>
        <v>2015</v>
      </c>
      <c r="F8" s="211"/>
      <c r="G8" s="212">
        <f>'הגדרות כלליות'!D10</f>
        <v>2015</v>
      </c>
      <c r="H8" s="211"/>
      <c r="I8" s="213">
        <f>'הגדרות כלליות'!D12</f>
        <v>2014</v>
      </c>
      <c r="J8" s="214"/>
      <c r="K8" s="215"/>
      <c r="L8" s="3407"/>
      <c r="M8" s="3399"/>
      <c r="N8" s="210">
        <f>'הגדרות כלליות'!D10</f>
        <v>2015</v>
      </c>
      <c r="O8" s="211"/>
      <c r="P8" s="212">
        <f>'הגדרות כלליות'!D10</f>
        <v>2015</v>
      </c>
      <c r="Q8" s="211"/>
      <c r="R8" s="213">
        <f>'הגדרות כלליות'!D12</f>
        <v>2014</v>
      </c>
      <c r="S8" s="2944"/>
      <c r="T8" s="196"/>
      <c r="U8" s="178"/>
    </row>
    <row r="9" spans="1:21">
      <c r="A9" s="216"/>
      <c r="B9" s="216"/>
      <c r="C9" s="216"/>
      <c r="D9" s="216"/>
      <c r="E9" s="216"/>
      <c r="F9" s="216"/>
      <c r="G9" s="216"/>
      <c r="H9" s="216"/>
      <c r="I9" s="216"/>
      <c r="J9" s="217"/>
      <c r="K9" s="218"/>
      <c r="L9" s="216"/>
      <c r="M9" s="216"/>
      <c r="N9" s="216"/>
      <c r="O9" s="219"/>
      <c r="P9" s="216"/>
      <c r="Q9" s="219"/>
      <c r="R9" s="216"/>
      <c r="S9" s="217"/>
      <c r="T9" s="196"/>
      <c r="U9" s="178"/>
    </row>
    <row r="10" spans="1:21">
      <c r="A10" s="220" t="s">
        <v>397</v>
      </c>
      <c r="B10" s="221" t="s">
        <v>398</v>
      </c>
      <c r="C10" s="216"/>
      <c r="D10" s="222"/>
      <c r="E10" s="216"/>
      <c r="F10" s="223"/>
      <c r="G10" s="216"/>
      <c r="H10" s="223"/>
      <c r="I10" s="216"/>
      <c r="J10" s="217"/>
      <c r="K10" s="224" t="s">
        <v>918</v>
      </c>
      <c r="L10" s="225" t="s">
        <v>399</v>
      </c>
      <c r="M10" s="223"/>
      <c r="N10" s="216"/>
      <c r="O10" s="223"/>
      <c r="P10" s="216"/>
      <c r="Q10" s="223"/>
      <c r="R10" s="216"/>
      <c r="S10" s="217"/>
      <c r="T10" s="196"/>
      <c r="U10" s="178"/>
    </row>
    <row r="11" spans="1:21">
      <c r="A11" s="216"/>
      <c r="B11" s="216" t="s">
        <v>400</v>
      </c>
      <c r="C11" s="226"/>
      <c r="D11" s="227" t="s">
        <v>350</v>
      </c>
      <c r="E11" s="228">
        <v>514500</v>
      </c>
      <c r="F11" s="229"/>
      <c r="G11" s="228">
        <v>539906</v>
      </c>
      <c r="H11" s="230"/>
      <c r="I11" s="228">
        <v>500054</v>
      </c>
      <c r="J11" s="2941"/>
      <c r="K11" s="232"/>
      <c r="L11" s="233" t="s">
        <v>417</v>
      </c>
      <c r="M11" s="234" t="s">
        <v>350</v>
      </c>
      <c r="N11" s="228">
        <v>29643</v>
      </c>
      <c r="O11" s="235"/>
      <c r="P11" s="228">
        <v>28572</v>
      </c>
      <c r="Q11" s="235"/>
      <c r="R11" s="228">
        <v>27289</v>
      </c>
      <c r="S11" s="2941"/>
      <c r="T11" s="196"/>
      <c r="U11" s="178"/>
    </row>
    <row r="12" spans="1:21">
      <c r="A12" s="216"/>
      <c r="B12" s="226" t="s">
        <v>418</v>
      </c>
      <c r="C12" s="226"/>
      <c r="D12" s="227" t="s">
        <v>350</v>
      </c>
      <c r="E12" s="228">
        <v>3170</v>
      </c>
      <c r="F12" s="230"/>
      <c r="G12" s="228">
        <v>3095</v>
      </c>
      <c r="H12" s="230"/>
      <c r="I12" s="228">
        <v>2803</v>
      </c>
      <c r="J12" s="2941"/>
      <c r="K12" s="232"/>
      <c r="L12" s="233" t="s">
        <v>419</v>
      </c>
      <c r="M12" s="234" t="s">
        <v>350</v>
      </c>
      <c r="N12" s="228">
        <v>18995</v>
      </c>
      <c r="O12" s="235"/>
      <c r="P12" s="228">
        <v>16742</v>
      </c>
      <c r="Q12" s="235"/>
      <c r="R12" s="228">
        <v>16253</v>
      </c>
      <c r="S12" s="2941"/>
      <c r="T12" s="196"/>
      <c r="U12" s="178"/>
    </row>
    <row r="13" spans="1:21">
      <c r="A13" s="216"/>
      <c r="B13" s="226" t="s">
        <v>420</v>
      </c>
      <c r="C13" s="226"/>
      <c r="D13" s="227" t="s">
        <v>350</v>
      </c>
      <c r="E13" s="236"/>
      <c r="F13" s="230"/>
      <c r="G13" s="236"/>
      <c r="H13" s="230"/>
      <c r="I13" s="236"/>
      <c r="J13" s="2941"/>
      <c r="K13" s="232"/>
      <c r="L13" s="233" t="s">
        <v>421</v>
      </c>
      <c r="M13" s="234" t="s">
        <v>350</v>
      </c>
      <c r="N13" s="228">
        <v>2910</v>
      </c>
      <c r="O13" s="235"/>
      <c r="P13" s="228">
        <v>2630</v>
      </c>
      <c r="Q13" s="235"/>
      <c r="R13" s="228">
        <v>2503</v>
      </c>
      <c r="S13" s="2941"/>
      <c r="T13" s="196"/>
      <c r="U13" s="178"/>
    </row>
    <row r="14" spans="1:21">
      <c r="A14" s="216"/>
      <c r="B14" s="226" t="s">
        <v>422</v>
      </c>
      <c r="C14" s="226"/>
      <c r="D14" s="227" t="s">
        <v>350</v>
      </c>
      <c r="E14" s="236"/>
      <c r="F14" s="230"/>
      <c r="G14" s="236"/>
      <c r="H14" s="230"/>
      <c r="I14" s="236"/>
      <c r="J14" s="2941"/>
      <c r="K14" s="232"/>
      <c r="L14" s="3030" t="s">
        <v>738</v>
      </c>
      <c r="M14" s="234" t="s">
        <v>350</v>
      </c>
      <c r="N14" s="238">
        <v>26350</v>
      </c>
      <c r="O14" s="235"/>
      <c r="P14" s="238">
        <v>24801</v>
      </c>
      <c r="Q14" s="235"/>
      <c r="R14" s="238">
        <v>30031</v>
      </c>
      <c r="S14" s="2941"/>
      <c r="T14" s="196"/>
      <c r="U14" s="178"/>
    </row>
    <row r="15" spans="1:21">
      <c r="A15" s="216"/>
      <c r="B15" s="3397" t="s">
        <v>207</v>
      </c>
      <c r="C15" s="3397"/>
      <c r="D15" s="227" t="s">
        <v>350</v>
      </c>
      <c r="E15" s="236"/>
      <c r="F15" s="230"/>
      <c r="G15" s="236"/>
      <c r="H15" s="230"/>
      <c r="I15" s="236"/>
      <c r="J15" s="2941"/>
      <c r="K15" s="240"/>
      <c r="L15" s="226"/>
      <c r="M15" s="241"/>
      <c r="N15" s="242">
        <f>SUM(N11:N14)</f>
        <v>77898</v>
      </c>
      <c r="O15" s="235"/>
      <c r="P15" s="242">
        <f>SUM(P11:P14)</f>
        <v>72745</v>
      </c>
      <c r="Q15" s="235"/>
      <c r="R15" s="242">
        <f>SUM(R11:R14)</f>
        <v>76076</v>
      </c>
      <c r="S15" s="2941"/>
      <c r="T15" s="196"/>
      <c r="U15" s="178"/>
    </row>
    <row r="16" spans="1:21">
      <c r="A16" s="216"/>
      <c r="B16" s="226" t="s">
        <v>423</v>
      </c>
      <c r="C16" s="226"/>
      <c r="D16" s="227" t="s">
        <v>350</v>
      </c>
      <c r="E16" s="236"/>
      <c r="F16" s="230"/>
      <c r="G16" s="236"/>
      <c r="H16" s="230"/>
      <c r="I16" s="236"/>
      <c r="J16" s="2941"/>
      <c r="K16" s="240"/>
      <c r="L16" s="226"/>
      <c r="M16" s="241"/>
      <c r="N16" s="243"/>
      <c r="O16" s="243"/>
      <c r="P16" s="243"/>
      <c r="Q16" s="243"/>
      <c r="R16" s="243"/>
      <c r="S16" s="237"/>
      <c r="T16" s="196"/>
      <c r="U16" s="178"/>
    </row>
    <row r="17" spans="1:21">
      <c r="A17" s="216"/>
      <c r="B17" s="216" t="s">
        <v>208</v>
      </c>
      <c r="C17" s="216"/>
      <c r="D17" s="227" t="s">
        <v>350</v>
      </c>
      <c r="E17" s="244"/>
      <c r="F17" s="230"/>
      <c r="G17" s="244"/>
      <c r="H17" s="243"/>
      <c r="I17" s="236"/>
      <c r="J17" s="2941"/>
      <c r="K17" s="240"/>
      <c r="L17" s="226"/>
      <c r="M17" s="241"/>
      <c r="N17" s="245"/>
      <c r="O17" s="245"/>
      <c r="P17" s="245"/>
      <c r="Q17" s="245"/>
      <c r="R17" s="243"/>
      <c r="S17" s="237"/>
      <c r="T17" s="196"/>
      <c r="U17" s="178"/>
    </row>
    <row r="18" spans="1:21">
      <c r="A18" s="216"/>
      <c r="B18" s="216"/>
      <c r="C18" s="216"/>
      <c r="D18" s="222"/>
      <c r="E18" s="242">
        <f>SUM(E11:E17)</f>
        <v>517670</v>
      </c>
      <c r="F18" s="243"/>
      <c r="G18" s="242">
        <f>SUM(G11:G17)</f>
        <v>543001</v>
      </c>
      <c r="H18" s="243"/>
      <c r="I18" s="242">
        <f>SUM(I11:I17)</f>
        <v>502857</v>
      </c>
      <c r="J18" s="2941"/>
      <c r="K18" s="240"/>
      <c r="L18" s="233"/>
      <c r="M18" s="247"/>
      <c r="N18" s="245"/>
      <c r="O18" s="245"/>
      <c r="P18" s="245"/>
      <c r="Q18" s="245"/>
      <c r="R18" s="243"/>
      <c r="S18" s="246"/>
      <c r="T18" s="196"/>
      <c r="U18" s="178"/>
    </row>
    <row r="19" spans="1:21">
      <c r="A19" s="216"/>
      <c r="B19" s="216"/>
      <c r="C19" s="216"/>
      <c r="D19" s="222"/>
      <c r="E19" s="243"/>
      <c r="F19" s="243"/>
      <c r="G19" s="243"/>
      <c r="H19" s="243"/>
      <c r="I19" s="243"/>
      <c r="J19" s="246"/>
      <c r="K19" s="240"/>
      <c r="L19" s="233"/>
      <c r="M19" s="247"/>
      <c r="N19" s="243"/>
      <c r="O19" s="243"/>
      <c r="P19" s="243"/>
      <c r="Q19" s="243"/>
      <c r="R19" s="243"/>
      <c r="S19" s="246"/>
      <c r="T19" s="196"/>
      <c r="U19" s="178"/>
    </row>
    <row r="20" spans="1:21">
      <c r="A20" s="220" t="s">
        <v>425</v>
      </c>
      <c r="B20" s="221" t="s">
        <v>426</v>
      </c>
      <c r="C20" s="216"/>
      <c r="D20" s="222"/>
      <c r="E20" s="243"/>
      <c r="F20" s="243"/>
      <c r="G20" s="243"/>
      <c r="H20" s="243"/>
      <c r="I20" s="243"/>
      <c r="J20" s="246"/>
      <c r="K20" s="224" t="s">
        <v>920</v>
      </c>
      <c r="L20" s="248" t="s">
        <v>426</v>
      </c>
      <c r="M20" s="247"/>
      <c r="N20" s="243"/>
      <c r="O20" s="243"/>
      <c r="P20" s="243"/>
      <c r="Q20" s="243"/>
      <c r="R20" s="243"/>
      <c r="S20" s="246"/>
      <c r="T20" s="196"/>
      <c r="U20" s="178"/>
    </row>
    <row r="21" spans="1:21">
      <c r="A21" s="216"/>
      <c r="B21" s="216" t="s">
        <v>427</v>
      </c>
      <c r="C21" s="216"/>
      <c r="D21" s="249" t="s">
        <v>350</v>
      </c>
      <c r="E21" s="231">
        <v>5718</v>
      </c>
      <c r="F21" s="243"/>
      <c r="G21" s="231">
        <v>3497</v>
      </c>
      <c r="H21" s="243"/>
      <c r="I21" s="231">
        <v>4023</v>
      </c>
      <c r="J21" s="2941"/>
      <c r="K21" s="240"/>
      <c r="L21" s="233" t="s">
        <v>428</v>
      </c>
      <c r="M21" s="250" t="s">
        <v>350</v>
      </c>
      <c r="N21" s="228">
        <v>68921</v>
      </c>
      <c r="O21" s="243"/>
      <c r="P21" s="228">
        <v>67782</v>
      </c>
      <c r="Q21" s="243"/>
      <c r="R21" s="228">
        <v>64817</v>
      </c>
      <c r="S21" s="2941"/>
      <c r="T21" s="196"/>
      <c r="U21" s="178"/>
    </row>
    <row r="22" spans="1:21">
      <c r="A22" s="216"/>
      <c r="B22" s="216" t="s">
        <v>429</v>
      </c>
      <c r="C22" s="216"/>
      <c r="D22" s="249" t="s">
        <v>350</v>
      </c>
      <c r="E22" s="228">
        <v>113</v>
      </c>
      <c r="F22" s="243"/>
      <c r="G22" s="228">
        <v>197</v>
      </c>
      <c r="H22" s="243"/>
      <c r="I22" s="228">
        <v>173</v>
      </c>
      <c r="J22" s="2941"/>
      <c r="K22" s="240"/>
      <c r="L22" s="233" t="s">
        <v>430</v>
      </c>
      <c r="M22" s="250" t="s">
        <v>350</v>
      </c>
      <c r="N22" s="228">
        <v>12831</v>
      </c>
      <c r="O22" s="243"/>
      <c r="P22" s="228">
        <v>11796</v>
      </c>
      <c r="Q22" s="243"/>
      <c r="R22" s="228">
        <v>11709</v>
      </c>
      <c r="S22" s="2941"/>
      <c r="T22" s="196"/>
      <c r="U22" s="178"/>
    </row>
    <row r="23" spans="1:21">
      <c r="A23" s="216"/>
      <c r="B23" s="216" t="s">
        <v>431</v>
      </c>
      <c r="C23" s="216"/>
      <c r="D23" s="249" t="s">
        <v>350</v>
      </c>
      <c r="E23" s="228">
        <v>19175</v>
      </c>
      <c r="F23" s="243"/>
      <c r="G23" s="228">
        <v>17861</v>
      </c>
      <c r="H23" s="243"/>
      <c r="I23" s="228">
        <v>13304</v>
      </c>
      <c r="J23" s="2941"/>
      <c r="K23" s="240"/>
      <c r="L23" s="233" t="s">
        <v>432</v>
      </c>
      <c r="M23" s="250" t="s">
        <v>350</v>
      </c>
      <c r="N23" s="228">
        <v>15931</v>
      </c>
      <c r="O23" s="243"/>
      <c r="P23" s="228">
        <v>14634</v>
      </c>
      <c r="Q23" s="243"/>
      <c r="R23" s="228">
        <v>13409</v>
      </c>
      <c r="S23" s="2941"/>
      <c r="T23" s="196"/>
      <c r="U23" s="178"/>
    </row>
    <row r="24" spans="1:21" ht="13.5" customHeight="1">
      <c r="A24" s="216"/>
      <c r="B24" s="216" t="s">
        <v>433</v>
      </c>
      <c r="C24" s="226"/>
      <c r="D24" s="249" t="s">
        <v>350</v>
      </c>
      <c r="E24" s="228">
        <v>2315</v>
      </c>
      <c r="F24" s="230"/>
      <c r="G24" s="228">
        <v>1295</v>
      </c>
      <c r="H24" s="230"/>
      <c r="I24" s="228">
        <v>2085</v>
      </c>
      <c r="J24" s="2941"/>
      <c r="K24" s="232"/>
      <c r="L24" s="233" t="s">
        <v>434</v>
      </c>
      <c r="M24" s="250" t="s">
        <v>350</v>
      </c>
      <c r="N24" s="228">
        <v>57934</v>
      </c>
      <c r="O24" s="243"/>
      <c r="P24" s="228">
        <v>53283</v>
      </c>
      <c r="Q24" s="243"/>
      <c r="R24" s="228">
        <v>53872</v>
      </c>
      <c r="S24" s="2941"/>
      <c r="T24" s="196"/>
      <c r="U24" s="178"/>
    </row>
    <row r="25" spans="1:21">
      <c r="A25" s="216"/>
      <c r="B25" s="251" t="s">
        <v>435</v>
      </c>
      <c r="C25" s="216"/>
      <c r="D25" s="249" t="s">
        <v>350</v>
      </c>
      <c r="E25" s="228"/>
      <c r="F25" s="243"/>
      <c r="G25" s="228"/>
      <c r="H25" s="243"/>
      <c r="I25" s="228"/>
      <c r="J25" s="2941"/>
      <c r="K25" s="240"/>
      <c r="L25" s="233" t="s">
        <v>436</v>
      </c>
      <c r="M25" s="250" t="s">
        <v>350</v>
      </c>
      <c r="N25" s="228">
        <v>1723</v>
      </c>
      <c r="O25" s="243"/>
      <c r="P25" s="228">
        <v>1686</v>
      </c>
      <c r="Q25" s="243"/>
      <c r="R25" s="228">
        <v>1375</v>
      </c>
      <c r="S25" s="2941"/>
      <c r="T25" s="196"/>
      <c r="U25" s="178"/>
    </row>
    <row r="26" spans="1:21">
      <c r="A26" s="216"/>
      <c r="B26" s="216" t="s">
        <v>437</v>
      </c>
      <c r="C26" s="252"/>
      <c r="D26" s="249" t="s">
        <v>350</v>
      </c>
      <c r="E26" s="228">
        <v>660</v>
      </c>
      <c r="F26" s="243"/>
      <c r="G26" s="228">
        <v>747</v>
      </c>
      <c r="H26" s="243"/>
      <c r="I26" s="228">
        <v>680</v>
      </c>
      <c r="J26" s="2941"/>
      <c r="K26" s="240"/>
      <c r="L26" s="233" t="s">
        <v>438</v>
      </c>
      <c r="M26" s="250" t="s">
        <v>350</v>
      </c>
      <c r="N26" s="228">
        <v>15903</v>
      </c>
      <c r="O26" s="243"/>
      <c r="P26" s="228">
        <v>14896</v>
      </c>
      <c r="Q26" s="243"/>
      <c r="R26" s="228">
        <v>13567</v>
      </c>
      <c r="S26" s="2941"/>
      <c r="T26" s="196"/>
      <c r="U26" s="178"/>
    </row>
    <row r="27" spans="1:21">
      <c r="A27" s="216"/>
      <c r="B27" s="216" t="s">
        <v>439</v>
      </c>
      <c r="C27" s="216"/>
      <c r="D27" s="249" t="s">
        <v>350</v>
      </c>
      <c r="E27" s="228"/>
      <c r="F27" s="243"/>
      <c r="G27" s="228"/>
      <c r="H27" s="243"/>
      <c r="I27" s="228"/>
      <c r="J27" s="2941"/>
      <c r="K27" s="240"/>
      <c r="L27" s="233" t="s">
        <v>440</v>
      </c>
      <c r="M27" s="250" t="s">
        <v>350</v>
      </c>
      <c r="N27" s="228">
        <v>926</v>
      </c>
      <c r="O27" s="243"/>
      <c r="P27" s="228">
        <v>873</v>
      </c>
      <c r="Q27" s="243"/>
      <c r="R27" s="228">
        <v>657</v>
      </c>
      <c r="S27" s="2941"/>
      <c r="T27" s="196"/>
      <c r="U27" s="178"/>
    </row>
    <row r="28" spans="1:21">
      <c r="A28" s="216"/>
      <c r="B28" s="216" t="s">
        <v>441</v>
      </c>
      <c r="C28" s="216"/>
      <c r="D28" s="249" t="s">
        <v>350</v>
      </c>
      <c r="E28" s="228">
        <v>1700</v>
      </c>
      <c r="F28" s="243"/>
      <c r="G28" s="228">
        <v>1103</v>
      </c>
      <c r="H28" s="243"/>
      <c r="I28" s="228">
        <v>1778</v>
      </c>
      <c r="J28" s="2941"/>
      <c r="K28" s="240"/>
      <c r="L28" s="233" t="s">
        <v>442</v>
      </c>
      <c r="M28" s="250" t="s">
        <v>350</v>
      </c>
      <c r="N28" s="228">
        <v>8871</v>
      </c>
      <c r="O28" s="243"/>
      <c r="P28" s="228">
        <v>7474</v>
      </c>
      <c r="Q28" s="243"/>
      <c r="R28" s="228">
        <v>8250</v>
      </c>
      <c r="S28" s="2941"/>
      <c r="T28" s="196"/>
      <c r="U28" s="178"/>
    </row>
    <row r="29" spans="1:21">
      <c r="A29" s="216"/>
      <c r="B29" s="216" t="s">
        <v>443</v>
      </c>
      <c r="C29" s="216"/>
      <c r="D29" s="249" t="s">
        <v>350</v>
      </c>
      <c r="E29" s="238">
        <v>50</v>
      </c>
      <c r="F29" s="243"/>
      <c r="G29" s="238">
        <v>65</v>
      </c>
      <c r="H29" s="243"/>
      <c r="I29" s="238">
        <v>65</v>
      </c>
      <c r="J29" s="2941"/>
      <c r="K29" s="240"/>
      <c r="L29" s="233" t="s">
        <v>444</v>
      </c>
      <c r="M29" s="250" t="s">
        <v>350</v>
      </c>
      <c r="N29" s="238">
        <v>34</v>
      </c>
      <c r="O29" s="243"/>
      <c r="P29" s="238">
        <v>43</v>
      </c>
      <c r="Q29" s="243"/>
      <c r="R29" s="238">
        <v>43</v>
      </c>
      <c r="S29" s="2941"/>
      <c r="T29" s="196"/>
      <c r="U29" s="178"/>
    </row>
    <row r="30" spans="1:21">
      <c r="A30" s="216"/>
      <c r="B30" s="216"/>
      <c r="C30" s="216"/>
      <c r="D30" s="222"/>
      <c r="E30" s="242">
        <f>SUM(E21:E29)</f>
        <v>29731</v>
      </c>
      <c r="F30" s="243"/>
      <c r="G30" s="242">
        <f>SUM(G21:G29)</f>
        <v>24765</v>
      </c>
      <c r="H30" s="243"/>
      <c r="I30" s="242">
        <f>SUM(I21:I29)</f>
        <v>22108</v>
      </c>
      <c r="J30" s="2941"/>
      <c r="K30" s="240"/>
      <c r="L30" s="233"/>
      <c r="M30" s="247"/>
      <c r="N30" s="242">
        <f>SUM(N21:N29)</f>
        <v>183074</v>
      </c>
      <c r="O30" s="243"/>
      <c r="P30" s="242">
        <f>SUM(P21:P29)</f>
        <v>172467</v>
      </c>
      <c r="Q30" s="243"/>
      <c r="R30" s="242">
        <f>SUM(R21:R29)</f>
        <v>167699</v>
      </c>
      <c r="S30" s="2941"/>
      <c r="T30" s="196"/>
      <c r="U30" s="178"/>
    </row>
    <row r="31" spans="1:21">
      <c r="A31" s="216"/>
      <c r="B31" s="216"/>
      <c r="C31" s="216"/>
      <c r="D31" s="222"/>
      <c r="E31" s="243"/>
      <c r="F31" s="243"/>
      <c r="G31" s="243"/>
      <c r="H31" s="243"/>
      <c r="I31" s="243"/>
      <c r="J31" s="246"/>
      <c r="K31" s="240"/>
      <c r="L31" s="233"/>
      <c r="M31" s="247"/>
      <c r="N31" s="243"/>
      <c r="O31" s="243"/>
      <c r="P31" s="243"/>
      <c r="Q31" s="243"/>
      <c r="R31" s="243"/>
      <c r="S31" s="246"/>
      <c r="T31" s="196"/>
      <c r="U31" s="178"/>
    </row>
    <row r="32" spans="1:21">
      <c r="A32" s="220" t="s">
        <v>445</v>
      </c>
      <c r="B32" s="221" t="s">
        <v>446</v>
      </c>
      <c r="C32" s="216"/>
      <c r="D32" s="222"/>
      <c r="E32" s="243"/>
      <c r="F32" s="243"/>
      <c r="G32" s="243"/>
      <c r="H32" s="243"/>
      <c r="I32" s="243"/>
      <c r="J32" s="246"/>
      <c r="K32" s="224" t="s">
        <v>741</v>
      </c>
      <c r="L32" s="248" t="s">
        <v>446</v>
      </c>
      <c r="M32" s="247"/>
      <c r="N32" s="243"/>
      <c r="O32" s="243"/>
      <c r="P32" s="243"/>
      <c r="Q32" s="243"/>
      <c r="R32" s="243"/>
      <c r="S32" s="246"/>
      <c r="T32" s="196"/>
      <c r="U32" s="178"/>
    </row>
    <row r="33" spans="1:21">
      <c r="A33" s="216"/>
      <c r="B33" s="216" t="s">
        <v>447</v>
      </c>
      <c r="C33" s="216"/>
      <c r="D33" s="249">
        <v>7</v>
      </c>
      <c r="E33" s="231">
        <v>145333</v>
      </c>
      <c r="F33" s="243"/>
      <c r="G33" s="231">
        <v>144463</v>
      </c>
      <c r="H33" s="243"/>
      <c r="I33" s="231">
        <v>139083</v>
      </c>
      <c r="J33" s="2941"/>
      <c r="K33" s="240"/>
      <c r="L33" s="233" t="s">
        <v>448</v>
      </c>
      <c r="M33" s="250">
        <v>7</v>
      </c>
      <c r="N33" s="228">
        <v>269332</v>
      </c>
      <c r="O33" s="243"/>
      <c r="P33" s="228">
        <v>259979</v>
      </c>
      <c r="Q33" s="243"/>
      <c r="R33" s="228">
        <v>246128</v>
      </c>
      <c r="S33" s="2941"/>
      <c r="T33" s="196"/>
      <c r="U33" s="178"/>
    </row>
    <row r="34" spans="1:21">
      <c r="A34" s="216"/>
      <c r="B34" s="216" t="s">
        <v>449</v>
      </c>
      <c r="C34" s="216"/>
      <c r="D34" s="249" t="s">
        <v>350</v>
      </c>
      <c r="E34" s="228">
        <v>3434</v>
      </c>
      <c r="F34" s="243"/>
      <c r="G34" s="228">
        <v>3178</v>
      </c>
      <c r="H34" s="243"/>
      <c r="I34" s="228">
        <v>2727</v>
      </c>
      <c r="J34" s="2941"/>
      <c r="K34" s="240"/>
      <c r="L34" s="233" t="s">
        <v>450</v>
      </c>
      <c r="M34" s="250" t="s">
        <v>350</v>
      </c>
      <c r="N34" s="228">
        <v>70277</v>
      </c>
      <c r="O34" s="243"/>
      <c r="P34" s="228">
        <v>67481</v>
      </c>
      <c r="Q34" s="243"/>
      <c r="R34" s="228">
        <v>64251</v>
      </c>
      <c r="S34" s="2941"/>
      <c r="T34" s="196"/>
      <c r="U34" s="178"/>
    </row>
    <row r="35" spans="1:21">
      <c r="A35" s="216"/>
      <c r="B35" s="216" t="s">
        <v>451</v>
      </c>
      <c r="C35" s="252"/>
      <c r="D35" s="249" t="s">
        <v>350</v>
      </c>
      <c r="E35" s="236"/>
      <c r="F35" s="230"/>
      <c r="G35" s="236"/>
      <c r="H35" s="253"/>
      <c r="I35" s="236"/>
      <c r="J35" s="2941"/>
      <c r="K35" s="240"/>
      <c r="L35" s="233" t="s">
        <v>452</v>
      </c>
      <c r="M35" s="250" t="s">
        <v>350</v>
      </c>
      <c r="N35" s="228">
        <v>1995</v>
      </c>
      <c r="O35" s="243"/>
      <c r="P35" s="228">
        <v>1742</v>
      </c>
      <c r="Q35" s="243"/>
      <c r="R35" s="228">
        <v>1590</v>
      </c>
      <c r="S35" s="2941"/>
      <c r="T35" s="196"/>
      <c r="U35" s="178"/>
    </row>
    <row r="36" spans="1:21">
      <c r="A36" s="216"/>
      <c r="B36" s="216" t="s">
        <v>453</v>
      </c>
      <c r="C36" s="226"/>
      <c r="D36" s="249">
        <v>6</v>
      </c>
      <c r="E36" s="228">
        <v>54654</v>
      </c>
      <c r="F36" s="243"/>
      <c r="G36" s="228">
        <v>52940</v>
      </c>
      <c r="H36" s="243"/>
      <c r="I36" s="228">
        <v>49943</v>
      </c>
      <c r="J36" s="2941"/>
      <c r="K36" s="240"/>
      <c r="L36" s="233" t="s">
        <v>454</v>
      </c>
      <c r="M36" s="250">
        <v>6</v>
      </c>
      <c r="N36" s="228">
        <v>91463</v>
      </c>
      <c r="O36" s="243"/>
      <c r="P36" s="228">
        <v>87479</v>
      </c>
      <c r="Q36" s="243"/>
      <c r="R36" s="228">
        <v>81945</v>
      </c>
      <c r="S36" s="2941"/>
      <c r="T36" s="196"/>
      <c r="U36" s="178"/>
    </row>
    <row r="37" spans="1:21">
      <c r="A37" s="216"/>
      <c r="B37" s="216" t="s">
        <v>455</v>
      </c>
      <c r="C37" s="252"/>
      <c r="D37" s="249" t="s">
        <v>350</v>
      </c>
      <c r="E37" s="236"/>
      <c r="F37" s="230"/>
      <c r="G37" s="236"/>
      <c r="H37" s="230"/>
      <c r="I37" s="228"/>
      <c r="J37" s="2941"/>
      <c r="K37" s="240"/>
      <c r="L37" s="233" t="s">
        <v>456</v>
      </c>
      <c r="M37" s="250" t="s">
        <v>350</v>
      </c>
      <c r="N37" s="228">
        <v>6445</v>
      </c>
      <c r="O37" s="243"/>
      <c r="P37" s="228">
        <v>6397</v>
      </c>
      <c r="Q37" s="243"/>
      <c r="R37" s="228">
        <v>6385</v>
      </c>
      <c r="S37" s="2941"/>
      <c r="T37" s="196"/>
      <c r="U37" s="178"/>
    </row>
    <row r="38" spans="1:21">
      <c r="A38" s="216"/>
      <c r="B38" s="216" t="s">
        <v>457</v>
      </c>
      <c r="C38" s="226"/>
      <c r="D38" s="249" t="s">
        <v>350</v>
      </c>
      <c r="E38" s="228">
        <v>125</v>
      </c>
      <c r="F38" s="243"/>
      <c r="G38" s="228">
        <v>127</v>
      </c>
      <c r="H38" s="243"/>
      <c r="I38" s="228">
        <v>142</v>
      </c>
      <c r="J38" s="2941"/>
      <c r="K38" s="240"/>
      <c r="L38" s="233" t="s">
        <v>458</v>
      </c>
      <c r="M38" s="250" t="s">
        <v>350</v>
      </c>
      <c r="N38" s="228">
        <v>424</v>
      </c>
      <c r="O38" s="243"/>
      <c r="P38" s="228">
        <v>360</v>
      </c>
      <c r="Q38" s="243"/>
      <c r="R38" s="228">
        <v>355</v>
      </c>
      <c r="S38" s="2941"/>
      <c r="T38" s="196"/>
      <c r="U38" s="178"/>
    </row>
    <row r="39" spans="1:21">
      <c r="A39" s="216"/>
      <c r="B39" s="216" t="s">
        <v>459</v>
      </c>
      <c r="C39" s="226"/>
      <c r="D39" s="249" t="s">
        <v>350</v>
      </c>
      <c r="E39" s="238">
        <v>169</v>
      </c>
      <c r="F39" s="243"/>
      <c r="G39" s="238">
        <v>36</v>
      </c>
      <c r="H39" s="243"/>
      <c r="I39" s="238">
        <v>188</v>
      </c>
      <c r="J39" s="2941"/>
      <c r="K39" s="240"/>
      <c r="L39" s="233" t="s">
        <v>460</v>
      </c>
      <c r="M39" s="250" t="s">
        <v>350</v>
      </c>
      <c r="N39" s="238">
        <v>2193</v>
      </c>
      <c r="O39" s="243"/>
      <c r="P39" s="238">
        <v>1803</v>
      </c>
      <c r="Q39" s="243"/>
      <c r="R39" s="238">
        <v>1709</v>
      </c>
      <c r="S39" s="2941"/>
      <c r="T39" s="196"/>
      <c r="U39" s="178"/>
    </row>
    <row r="40" spans="1:21">
      <c r="A40" s="216"/>
      <c r="B40" s="216"/>
      <c r="C40" s="216"/>
      <c r="D40" s="249"/>
      <c r="E40" s="242">
        <f>SUM(E33:E39)</f>
        <v>203715</v>
      </c>
      <c r="F40" s="243"/>
      <c r="G40" s="242">
        <f>SUM(G33:G39)</f>
        <v>200744</v>
      </c>
      <c r="H40" s="243"/>
      <c r="I40" s="242">
        <f>SUM(I33:I39)</f>
        <v>192083</v>
      </c>
      <c r="J40" s="2941"/>
      <c r="K40" s="240"/>
      <c r="L40" s="233"/>
      <c r="M40" s="247"/>
      <c r="N40" s="242">
        <f>SUM(N33:N39)</f>
        <v>442129</v>
      </c>
      <c r="O40" s="243"/>
      <c r="P40" s="242">
        <f>SUM(P33:P39)</f>
        <v>425241</v>
      </c>
      <c r="Q40" s="243"/>
      <c r="R40" s="242">
        <f>SUM(R33:R39)</f>
        <v>402363</v>
      </c>
      <c r="S40" s="2941"/>
      <c r="T40" s="196"/>
      <c r="U40" s="178"/>
    </row>
    <row r="41" spans="1:21">
      <c r="A41" s="216"/>
      <c r="B41" s="216"/>
      <c r="C41" s="216"/>
      <c r="D41" s="222"/>
      <c r="E41" s="243"/>
      <c r="F41" s="243"/>
      <c r="G41" s="243"/>
      <c r="H41" s="243"/>
      <c r="I41" s="243"/>
      <c r="J41" s="246"/>
      <c r="K41" s="240"/>
      <c r="L41" s="229"/>
      <c r="M41" s="254"/>
      <c r="N41" s="243"/>
      <c r="O41" s="230"/>
      <c r="P41" s="243"/>
      <c r="Q41" s="230"/>
      <c r="R41" s="243"/>
      <c r="S41" s="246"/>
      <c r="T41" s="196"/>
      <c r="U41" s="178"/>
    </row>
    <row r="42" spans="1:21">
      <c r="A42" s="220" t="s">
        <v>461</v>
      </c>
      <c r="B42" s="221" t="s">
        <v>462</v>
      </c>
      <c r="C42" s="216"/>
      <c r="D42" s="222"/>
      <c r="E42" s="243"/>
      <c r="F42" s="243"/>
      <c r="G42" s="243"/>
      <c r="H42" s="243"/>
      <c r="I42" s="243"/>
      <c r="J42" s="246"/>
      <c r="K42" s="224" t="s">
        <v>740</v>
      </c>
      <c r="L42" s="248" t="s">
        <v>462</v>
      </c>
      <c r="M42" s="254"/>
      <c r="N42" s="230"/>
      <c r="O42" s="230"/>
      <c r="P42" s="230"/>
      <c r="Q42" s="230"/>
      <c r="R42" s="243"/>
      <c r="S42" s="246"/>
      <c r="T42" s="196"/>
      <c r="U42" s="178"/>
    </row>
    <row r="43" spans="1:21">
      <c r="A43" s="226"/>
      <c r="B43" s="216" t="s">
        <v>463</v>
      </c>
      <c r="C43" s="216"/>
      <c r="D43" s="249">
        <v>8</v>
      </c>
      <c r="E43" s="231">
        <v>2610</v>
      </c>
      <c r="F43" s="243"/>
      <c r="G43" s="231">
        <v>2879</v>
      </c>
      <c r="H43" s="243"/>
      <c r="I43" s="231">
        <v>2858</v>
      </c>
      <c r="J43" s="2941"/>
      <c r="K43" s="240"/>
      <c r="L43" s="3142" t="s">
        <v>464</v>
      </c>
      <c r="M43" s="250">
        <v>8</v>
      </c>
      <c r="N43" s="390">
        <f>'נתונים לנספח 1 לטופס 2'!C82</f>
        <v>2750</v>
      </c>
      <c r="O43" s="243"/>
      <c r="P43" s="390">
        <f>'נתונים לנספח 1 לטופס 2'!D82</f>
        <v>2502</v>
      </c>
      <c r="Q43" s="243"/>
      <c r="R43" s="390">
        <f>'נתונים לנספח 1 לטופס 2'!E82</f>
        <v>2511</v>
      </c>
      <c r="S43" s="2941"/>
      <c r="T43" s="196"/>
      <c r="U43" s="178"/>
    </row>
    <row r="44" spans="1:21">
      <c r="A44" s="216"/>
      <c r="B44" s="216" t="s">
        <v>465</v>
      </c>
      <c r="C44" s="216"/>
      <c r="D44" s="249" t="s">
        <v>350</v>
      </c>
      <c r="E44" s="236"/>
      <c r="F44" s="243"/>
      <c r="G44" s="228"/>
      <c r="H44" s="243"/>
      <c r="I44" s="228"/>
      <c r="J44" s="2941"/>
      <c r="K44" s="240"/>
      <c r="L44" s="216" t="s">
        <v>466</v>
      </c>
      <c r="M44" s="250" t="s">
        <v>350</v>
      </c>
      <c r="N44" s="228"/>
      <c r="O44" s="243"/>
      <c r="P44" s="228"/>
      <c r="Q44" s="243"/>
      <c r="R44" s="228"/>
      <c r="S44" s="2941"/>
      <c r="T44" s="196"/>
      <c r="U44" s="178"/>
    </row>
    <row r="45" spans="1:21">
      <c r="A45" s="216"/>
      <c r="B45" s="216" t="s">
        <v>467</v>
      </c>
      <c r="C45" s="216"/>
      <c r="D45" s="249" t="s">
        <v>350</v>
      </c>
      <c r="E45" s="228">
        <v>7590</v>
      </c>
      <c r="F45" s="243"/>
      <c r="G45" s="228">
        <v>8665</v>
      </c>
      <c r="H45" s="243"/>
      <c r="I45" s="228">
        <v>7495</v>
      </c>
      <c r="J45" s="2941"/>
      <c r="K45" s="232"/>
      <c r="L45" s="216" t="s">
        <v>468</v>
      </c>
      <c r="M45" s="250" t="s">
        <v>350</v>
      </c>
      <c r="N45" s="228">
        <v>17944</v>
      </c>
      <c r="O45" s="243"/>
      <c r="P45" s="228">
        <v>17249</v>
      </c>
      <c r="Q45" s="243"/>
      <c r="R45" s="228">
        <v>17253</v>
      </c>
      <c r="S45" s="2941"/>
      <c r="T45" s="196"/>
      <c r="U45" s="178"/>
    </row>
    <row r="46" spans="1:21">
      <c r="A46" s="216"/>
      <c r="B46" s="216" t="s">
        <v>469</v>
      </c>
      <c r="C46" s="216"/>
      <c r="D46" s="249" t="s">
        <v>350</v>
      </c>
      <c r="E46" s="236">
        <v>24775</v>
      </c>
      <c r="F46" s="243"/>
      <c r="G46" s="236">
        <v>30511</v>
      </c>
      <c r="H46" s="243"/>
      <c r="I46" s="236">
        <v>23349</v>
      </c>
      <c r="J46" s="2941"/>
      <c r="K46" s="232"/>
      <c r="L46" s="216" t="s">
        <v>470</v>
      </c>
      <c r="M46" s="250" t="s">
        <v>350</v>
      </c>
      <c r="N46" s="228">
        <v>3951</v>
      </c>
      <c r="O46" s="243"/>
      <c r="P46" s="228">
        <v>3543</v>
      </c>
      <c r="Q46" s="243"/>
      <c r="R46" s="236">
        <v>3157</v>
      </c>
      <c r="S46" s="2941"/>
      <c r="T46" s="196"/>
      <c r="U46" s="178"/>
    </row>
    <row r="47" spans="1:21">
      <c r="A47" s="216"/>
      <c r="B47" s="216" t="s">
        <v>471</v>
      </c>
      <c r="C47" s="216"/>
      <c r="D47" s="249" t="s">
        <v>350</v>
      </c>
      <c r="E47" s="236"/>
      <c r="F47" s="243"/>
      <c r="G47" s="236"/>
      <c r="H47" s="243"/>
      <c r="I47" s="236"/>
      <c r="J47" s="2941"/>
      <c r="K47" s="232"/>
      <c r="L47" s="216" t="s">
        <v>472</v>
      </c>
      <c r="M47" s="250" t="s">
        <v>350</v>
      </c>
      <c r="N47" s="228"/>
      <c r="O47" s="243"/>
      <c r="P47" s="228"/>
      <c r="Q47" s="243"/>
      <c r="R47" s="236"/>
      <c r="S47" s="2941"/>
      <c r="T47" s="196"/>
      <c r="U47" s="178"/>
    </row>
    <row r="48" spans="1:21">
      <c r="A48" s="216"/>
      <c r="B48" s="216" t="s">
        <v>473</v>
      </c>
      <c r="C48" s="216"/>
      <c r="D48" s="249" t="s">
        <v>350</v>
      </c>
      <c r="E48" s="236"/>
      <c r="F48" s="243"/>
      <c r="G48" s="236"/>
      <c r="H48" s="243"/>
      <c r="I48" s="236"/>
      <c r="J48" s="2941"/>
      <c r="K48" s="232"/>
      <c r="L48" s="216" t="s">
        <v>474</v>
      </c>
      <c r="M48" s="250" t="s">
        <v>350</v>
      </c>
      <c r="N48" s="228"/>
      <c r="O48" s="243"/>
      <c r="P48" s="228"/>
      <c r="Q48" s="243"/>
      <c r="R48" s="236"/>
      <c r="S48" s="2941"/>
      <c r="T48" s="196"/>
      <c r="U48" s="178"/>
    </row>
    <row r="49" spans="1:21" ht="26.4">
      <c r="A49" s="216"/>
      <c r="B49" s="216" t="s">
        <v>475</v>
      </c>
      <c r="C49" s="216"/>
      <c r="D49" s="249">
        <v>8</v>
      </c>
      <c r="E49" s="236">
        <v>11610</v>
      </c>
      <c r="F49" s="243"/>
      <c r="G49" s="236">
        <v>10067</v>
      </c>
      <c r="H49" s="243"/>
      <c r="I49" s="236">
        <v>11533</v>
      </c>
      <c r="J49" s="2941"/>
      <c r="K49" s="232"/>
      <c r="L49" s="3143" t="s">
        <v>1132</v>
      </c>
      <c r="M49" s="250">
        <v>8</v>
      </c>
      <c r="N49" s="228">
        <v>11610</v>
      </c>
      <c r="O49" s="243"/>
      <c r="P49" s="228">
        <v>11117</v>
      </c>
      <c r="Q49" s="243"/>
      <c r="R49" s="228">
        <v>11484</v>
      </c>
      <c r="S49" s="2941"/>
      <c r="T49" s="196"/>
      <c r="U49" s="178"/>
    </row>
    <row r="50" spans="1:21">
      <c r="A50" s="216"/>
      <c r="B50" s="216" t="s">
        <v>476</v>
      </c>
      <c r="C50" s="216"/>
      <c r="D50" s="249" t="s">
        <v>350</v>
      </c>
      <c r="E50" s="244"/>
      <c r="F50" s="243"/>
      <c r="G50" s="244"/>
      <c r="H50" s="243"/>
      <c r="I50" s="244"/>
      <c r="J50" s="2941"/>
      <c r="K50" s="232"/>
      <c r="L50" s="216" t="s">
        <v>477</v>
      </c>
      <c r="M50" s="250" t="s">
        <v>350</v>
      </c>
      <c r="N50" s="238"/>
      <c r="O50" s="243"/>
      <c r="P50" s="238"/>
      <c r="Q50" s="243"/>
      <c r="R50" s="238"/>
      <c r="S50" s="2941"/>
      <c r="T50" s="196"/>
      <c r="U50" s="178"/>
    </row>
    <row r="51" spans="1:21">
      <c r="A51" s="216"/>
      <c r="B51" s="216"/>
      <c r="C51" s="216"/>
      <c r="D51" s="216"/>
      <c r="E51" s="242">
        <f>SUM(E43:E50)</f>
        <v>46585</v>
      </c>
      <c r="F51" s="243"/>
      <c r="G51" s="242">
        <f>SUM(G43:G50)</f>
        <v>52122</v>
      </c>
      <c r="H51" s="243"/>
      <c r="I51" s="242">
        <f>SUM(I43:I50)</f>
        <v>45235</v>
      </c>
      <c r="J51" s="2941"/>
      <c r="K51" s="240"/>
      <c r="L51" s="233"/>
      <c r="M51" s="247"/>
      <c r="N51" s="242">
        <f>SUM(N43:N50)</f>
        <v>36255</v>
      </c>
      <c r="O51" s="243"/>
      <c r="P51" s="242">
        <f>SUM(P43:P50)</f>
        <v>34411</v>
      </c>
      <c r="Q51" s="243"/>
      <c r="R51" s="242">
        <f>SUM(R43:R50)</f>
        <v>34405</v>
      </c>
      <c r="S51" s="2941"/>
      <c r="T51" s="196"/>
      <c r="U51" s="178"/>
    </row>
    <row r="52" spans="1:21">
      <c r="A52" s="216"/>
      <c r="B52" s="216"/>
      <c r="C52" s="216"/>
      <c r="D52" s="216"/>
      <c r="E52" s="243"/>
      <c r="F52" s="255"/>
      <c r="G52" s="243"/>
      <c r="H52" s="255"/>
      <c r="I52" s="243"/>
      <c r="J52" s="246"/>
      <c r="K52" s="256"/>
      <c r="L52" s="223"/>
      <c r="M52" s="247"/>
      <c r="N52" s="245"/>
      <c r="O52" s="245"/>
      <c r="P52" s="245"/>
      <c r="Q52" s="245"/>
      <c r="R52" s="243"/>
      <c r="S52" s="246"/>
      <c r="T52" s="196"/>
      <c r="U52" s="178"/>
    </row>
    <row r="53" spans="1:21" ht="16.5" customHeight="1">
      <c r="A53" s="257" t="s">
        <v>478</v>
      </c>
      <c r="B53" s="258" t="s">
        <v>479</v>
      </c>
      <c r="C53" s="223"/>
      <c r="D53" s="259">
        <v>4</v>
      </c>
      <c r="E53" s="260">
        <f>'ביאור 4'!C19</f>
        <v>38524</v>
      </c>
      <c r="F53" s="243"/>
      <c r="G53" s="260">
        <f>'ביאור 4'!E19</f>
        <v>33153</v>
      </c>
      <c r="H53" s="243"/>
      <c r="I53" s="260">
        <f>'ביאור 4'!G19</f>
        <v>33412</v>
      </c>
      <c r="J53" s="2941"/>
      <c r="K53" s="261" t="s">
        <v>739</v>
      </c>
      <c r="L53" s="262" t="s">
        <v>480</v>
      </c>
      <c r="M53" s="247">
        <v>4</v>
      </c>
      <c r="N53" s="260">
        <f>'ביאור 4'!C34</f>
        <v>96869</v>
      </c>
      <c r="O53" s="255"/>
      <c r="P53" s="260">
        <f>'ביאור 4'!E34</f>
        <v>131404</v>
      </c>
      <c r="Q53" s="243"/>
      <c r="R53" s="260">
        <f>'ביאור 4'!G34</f>
        <v>104510</v>
      </c>
      <c r="S53" s="2941"/>
      <c r="T53" s="196"/>
      <c r="U53" s="178"/>
    </row>
    <row r="54" spans="1:21">
      <c r="A54" s="226"/>
      <c r="B54" s="252"/>
      <c r="C54" s="252"/>
      <c r="D54" s="252"/>
      <c r="E54" s="245"/>
      <c r="F54" s="245"/>
      <c r="G54" s="245"/>
      <c r="H54" s="245"/>
      <c r="I54" s="117"/>
      <c r="J54" s="263"/>
      <c r="K54" s="256"/>
      <c r="L54" s="226"/>
      <c r="M54" s="252"/>
      <c r="N54" s="243"/>
      <c r="O54" s="255"/>
      <c r="P54" s="243"/>
      <c r="Q54" s="243"/>
      <c r="R54" s="117"/>
      <c r="S54" s="263"/>
      <c r="T54" s="196"/>
      <c r="U54" s="178"/>
    </row>
    <row r="55" spans="1:21" ht="13.8" thickBot="1">
      <c r="A55" s="216"/>
      <c r="B55" s="264" t="s">
        <v>481</v>
      </c>
      <c r="C55" s="223"/>
      <c r="D55" s="223"/>
      <c r="E55" s="265">
        <f>E18+E30+E40+E51+E53</f>
        <v>836225</v>
      </c>
      <c r="F55" s="255"/>
      <c r="G55" s="265">
        <f>G18+G30+G40+G51+G53</f>
        <v>853785</v>
      </c>
      <c r="H55" s="243"/>
      <c r="I55" s="265">
        <f>I18+I30+I40+I51+I53</f>
        <v>795695</v>
      </c>
      <c r="J55" s="2941"/>
      <c r="K55" s="256"/>
      <c r="L55" s="264" t="s">
        <v>481</v>
      </c>
      <c r="M55" s="252"/>
      <c r="N55" s="265">
        <f>N15+N30+N40+N51+N53</f>
        <v>836225</v>
      </c>
      <c r="O55" s="243"/>
      <c r="P55" s="265">
        <f>P15+P30+P40+P51+P53</f>
        <v>836268</v>
      </c>
      <c r="Q55" s="243"/>
      <c r="R55" s="265">
        <f>R15+R30+R40+R51+R53</f>
        <v>785053</v>
      </c>
      <c r="S55" s="2941"/>
      <c r="T55" s="196"/>
      <c r="U55" s="178"/>
    </row>
    <row r="56" spans="1:21" ht="13.8" thickTop="1">
      <c r="A56" s="220"/>
      <c r="B56" s="249"/>
      <c r="C56" s="216"/>
      <c r="D56" s="226"/>
      <c r="E56" s="236"/>
      <c r="F56" s="117"/>
      <c r="G56" s="236"/>
      <c r="H56" s="117"/>
      <c r="I56" s="236"/>
      <c r="J56" s="2941"/>
      <c r="K56" s="256"/>
      <c r="L56" s="249" t="s">
        <v>350</v>
      </c>
      <c r="M56" s="223"/>
      <c r="N56" s="236"/>
      <c r="O56" s="252"/>
      <c r="P56" s="236"/>
      <c r="Q56" s="252"/>
      <c r="R56" s="236"/>
      <c r="S56" s="3002"/>
      <c r="T56" s="196"/>
      <c r="U56" s="178"/>
    </row>
    <row r="57" spans="1:21">
      <c r="A57" s="266"/>
      <c r="B57" s="2905" t="s">
        <v>350</v>
      </c>
      <c r="C57" s="267"/>
      <c r="D57" s="268"/>
      <c r="E57" s="147"/>
      <c r="F57" s="147"/>
      <c r="G57" s="147"/>
      <c r="H57" s="147"/>
      <c r="I57" s="147"/>
      <c r="J57" s="269"/>
      <c r="K57" s="270"/>
      <c r="L57" s="268"/>
      <c r="M57" s="271"/>
      <c r="N57" s="268"/>
      <c r="O57" s="268"/>
      <c r="P57" s="268"/>
      <c r="Q57" s="268"/>
      <c r="R57" s="147"/>
      <c r="S57" s="269"/>
      <c r="T57" s="196"/>
      <c r="U57" s="178"/>
    </row>
    <row r="58" spans="1:21">
      <c r="A58" s="272"/>
      <c r="B58" s="273"/>
      <c r="C58" s="273"/>
      <c r="D58" s="274"/>
      <c r="E58" s="275"/>
      <c r="F58" s="275"/>
      <c r="G58" s="275"/>
      <c r="H58" s="275"/>
      <c r="I58" s="275"/>
      <c r="J58" s="274"/>
      <c r="K58" s="276"/>
      <c r="L58" s="274"/>
      <c r="M58" s="277"/>
      <c r="N58" s="274"/>
      <c r="O58" s="274"/>
      <c r="P58" s="274"/>
      <c r="Q58" s="274"/>
      <c r="R58" s="274"/>
      <c r="S58" s="274"/>
      <c r="T58" s="196"/>
      <c r="U58" s="178"/>
    </row>
    <row r="59" spans="1:21">
      <c r="A59" s="273"/>
      <c r="B59" s="278" t="s">
        <v>482</v>
      </c>
      <c r="C59" s="278"/>
      <c r="D59" s="278"/>
      <c r="E59" s="280">
        <f>E55</f>
        <v>836225</v>
      </c>
      <c r="F59" s="279"/>
      <c r="G59" s="280">
        <f>G55</f>
        <v>853785</v>
      </c>
      <c r="H59" s="281"/>
      <c r="I59" s="280">
        <f>I55</f>
        <v>795695</v>
      </c>
      <c r="J59" s="282"/>
      <c r="K59" s="277"/>
      <c r="L59" s="277"/>
      <c r="M59" s="277"/>
      <c r="N59" s="277"/>
      <c r="O59" s="277"/>
      <c r="P59" s="277"/>
      <c r="Q59" s="277"/>
      <c r="R59" s="277"/>
      <c r="S59" s="282"/>
      <c r="T59" s="196"/>
      <c r="U59" s="178"/>
    </row>
    <row r="60" spans="1:21">
      <c r="A60" s="273"/>
      <c r="B60" s="278" t="s">
        <v>483</v>
      </c>
      <c r="C60" s="278"/>
      <c r="D60" s="278"/>
      <c r="E60" s="283">
        <f>N55</f>
        <v>836225</v>
      </c>
      <c r="F60" s="279"/>
      <c r="G60" s="283">
        <f>P55</f>
        <v>836268</v>
      </c>
      <c r="H60" s="281"/>
      <c r="I60" s="283">
        <f>R55</f>
        <v>785053</v>
      </c>
      <c r="J60" s="282"/>
      <c r="K60" s="277"/>
      <c r="L60" s="284"/>
      <c r="M60" s="284"/>
      <c r="N60" s="277"/>
      <c r="O60" s="277"/>
      <c r="P60" s="277"/>
      <c r="Q60" s="284"/>
      <c r="R60" s="284"/>
      <c r="S60" s="282"/>
      <c r="T60" s="196"/>
      <c r="U60" s="178"/>
    </row>
    <row r="61" spans="1:21" ht="13.8" thickBot="1">
      <c r="A61" s="273"/>
      <c r="B61" s="278" t="str">
        <f>IF(OR(AND(I61&gt;0,G61&gt;0),AND(I61&gt;0,G61=0),AND(I61=0,G61&gt;0)),'נתונים לטופס 1'!A49,IF(OR(AND(I61&lt;0,G61&lt;0),AND(I61&lt;0,G61=0),AND(I61=0,G61&lt;0)),'נתונים לטופס 1'!A50,IF(I61&gt;0,'נתונים לטופס 1'!A54,'נתונים לטופס 1'!A53)))</f>
        <v>עודף בשנת הדוח</v>
      </c>
      <c r="C61" s="278"/>
      <c r="D61" s="278"/>
      <c r="E61" s="285">
        <f>E59-E60</f>
        <v>0</v>
      </c>
      <c r="F61" s="279"/>
      <c r="G61" s="285">
        <f>G59-G60</f>
        <v>17517</v>
      </c>
      <c r="H61" s="281"/>
      <c r="I61" s="285">
        <f>I59-I60</f>
        <v>10642</v>
      </c>
      <c r="J61" s="282"/>
      <c r="K61" s="277"/>
      <c r="L61" s="284"/>
      <c r="M61" s="284"/>
      <c r="N61" s="284"/>
      <c r="O61" s="284"/>
      <c r="P61" s="284"/>
      <c r="Q61" s="284"/>
      <c r="R61" s="284"/>
      <c r="S61" s="282"/>
      <c r="T61" s="196"/>
      <c r="U61" s="178"/>
    </row>
    <row r="62" spans="1:21" ht="13.8" thickTop="1">
      <c r="A62" s="273"/>
      <c r="B62" s="274"/>
      <c r="C62" s="274"/>
      <c r="D62" s="274"/>
      <c r="E62" s="274"/>
      <c r="F62" s="274"/>
      <c r="G62" s="274"/>
      <c r="H62" s="274"/>
      <c r="I62" s="274"/>
      <c r="J62" s="274"/>
      <c r="K62" s="277"/>
      <c r="L62" s="284"/>
      <c r="M62" s="284"/>
      <c r="N62" s="284"/>
      <c r="O62" s="284"/>
      <c r="P62" s="284"/>
      <c r="Q62" s="284"/>
      <c r="R62" s="284"/>
      <c r="S62" s="274"/>
      <c r="T62" s="196"/>
      <c r="U62" s="178"/>
    </row>
    <row r="63" spans="1:21">
      <c r="A63" s="273"/>
      <c r="B63" s="3007"/>
      <c r="C63" s="274"/>
      <c r="D63" s="274"/>
      <c r="E63" s="274"/>
      <c r="F63" s="274"/>
      <c r="G63" s="274"/>
      <c r="H63" s="274"/>
      <c r="I63" s="274"/>
      <c r="J63" s="274"/>
      <c r="K63" s="277"/>
      <c r="L63" s="274"/>
      <c r="M63" s="275"/>
      <c r="N63" s="274"/>
      <c r="O63" s="274"/>
      <c r="P63" s="274"/>
      <c r="Q63" s="274"/>
      <c r="R63" s="274"/>
      <c r="S63" s="274"/>
      <c r="T63" s="277"/>
      <c r="U63" s="178"/>
    </row>
    <row r="64" spans="1:21" ht="13.8" thickBot="1">
      <c r="A64" s="273"/>
      <c r="B64" s="274"/>
      <c r="C64" s="274"/>
      <c r="D64" s="274"/>
      <c r="E64" s="274"/>
      <c r="F64" s="274"/>
      <c r="G64" s="274"/>
      <c r="H64" s="274"/>
      <c r="I64" s="274"/>
      <c r="J64" s="274"/>
      <c r="K64" s="277"/>
      <c r="L64" s="275"/>
      <c r="M64" s="274"/>
      <c r="N64" s="274"/>
      <c r="O64" s="274"/>
      <c r="P64" s="274"/>
      <c r="Q64" s="274"/>
      <c r="R64" s="274"/>
      <c r="S64" s="274"/>
      <c r="T64" s="277"/>
      <c r="U64" s="178"/>
    </row>
    <row r="65" spans="1:20" ht="13.8" thickTop="1">
      <c r="A65" s="286"/>
      <c r="B65" s="286"/>
      <c r="C65" s="286"/>
      <c r="D65" s="286"/>
      <c r="E65" s="286"/>
      <c r="F65" s="286"/>
      <c r="G65" s="286"/>
      <c r="H65" s="286"/>
      <c r="I65" s="286"/>
      <c r="J65" s="286"/>
      <c r="K65" s="287"/>
      <c r="L65" s="286"/>
      <c r="M65" s="286"/>
      <c r="N65" s="286"/>
      <c r="O65" s="286"/>
      <c r="P65" s="286"/>
      <c r="Q65" s="286"/>
      <c r="R65" s="286"/>
      <c r="S65" s="286"/>
      <c r="T65" s="288"/>
    </row>
    <row r="66" spans="1:20">
      <c r="K66" s="289"/>
    </row>
    <row r="67" spans="1:20">
      <c r="K67" s="289"/>
    </row>
    <row r="101" spans="1:19" ht="17.399999999999999">
      <c r="A101" s="291">
        <f>A2</f>
        <v>0</v>
      </c>
      <c r="B101" s="292">
        <f>B2</f>
        <v>0</v>
      </c>
      <c r="C101" s="292">
        <f>C2</f>
        <v>0</v>
      </c>
      <c r="D101" s="293">
        <f>D2</f>
        <v>0</v>
      </c>
      <c r="E101" s="3390" t="str">
        <f>G2</f>
        <v>עירית הרצליה</v>
      </c>
      <c r="F101" s="3390"/>
      <c r="G101" s="3390"/>
      <c r="H101" s="3390"/>
      <c r="I101" s="3390"/>
      <c r="J101" s="3390"/>
      <c r="K101" s="3390"/>
      <c r="L101" s="3390"/>
      <c r="M101" s="3390"/>
      <c r="N101" s="3390"/>
      <c r="O101" s="292">
        <f>O2</f>
        <v>0</v>
      </c>
      <c r="P101" s="292">
        <f>P2</f>
        <v>0</v>
      </c>
      <c r="Q101" s="292">
        <f>Q2</f>
        <v>0</v>
      </c>
      <c r="R101" s="292">
        <f>R2</f>
        <v>0</v>
      </c>
      <c r="S101" s="292"/>
    </row>
    <row r="102" spans="1:19" ht="18" customHeight="1">
      <c r="A102" s="294">
        <f>A3</f>
        <v>0</v>
      </c>
      <c r="B102" s="3390" t="str">
        <f>G3</f>
        <v>ריכוז תקבולים ותשלומים של התקציב הרגיל לפי פרקי תקציב</v>
      </c>
      <c r="C102" s="3390"/>
      <c r="D102" s="3390"/>
      <c r="E102" s="3390"/>
      <c r="F102" s="3390"/>
      <c r="G102" s="3390"/>
      <c r="H102" s="3390"/>
      <c r="I102" s="3390"/>
      <c r="J102" s="3390"/>
      <c r="K102" s="3390"/>
      <c r="L102" s="3390"/>
      <c r="M102" s="3390"/>
      <c r="N102" s="3390"/>
      <c r="O102" s="3390"/>
      <c r="P102" s="3390"/>
      <c r="Q102" s="3390"/>
      <c r="R102" s="3390"/>
      <c r="S102" s="2925"/>
    </row>
    <row r="103" spans="1:19" ht="17.399999999999999">
      <c r="A103" s="294">
        <f>A4</f>
        <v>0</v>
      </c>
      <c r="B103" s="295">
        <f>B4</f>
        <v>0</v>
      </c>
      <c r="C103" s="295">
        <f>C4</f>
        <v>0</v>
      </c>
      <c r="D103" s="296">
        <f>D4</f>
        <v>0</v>
      </c>
      <c r="E103" s="3393" t="str">
        <f>G4</f>
        <v xml:space="preserve">לשנה שנסתיימה ביום 31 בדצמבר 2015 (אלפי ש''ח) </v>
      </c>
      <c r="F103" s="3393"/>
      <c r="G103" s="3393"/>
      <c r="H103" s="3393"/>
      <c r="I103" s="3393"/>
      <c r="J103" s="3393"/>
      <c r="K103" s="3393"/>
      <c r="L103" s="3393"/>
      <c r="M103" s="3393"/>
      <c r="N103" s="3393"/>
      <c r="O103" s="295">
        <f t="shared" ref="O103:R104" si="0">O4</f>
        <v>0</v>
      </c>
      <c r="P103" s="295">
        <f t="shared" si="0"/>
        <v>0</v>
      </c>
      <c r="Q103" s="295">
        <f t="shared" si="0"/>
        <v>0</v>
      </c>
      <c r="R103" s="295">
        <f t="shared" si="0"/>
        <v>0</v>
      </c>
      <c r="S103" s="295"/>
    </row>
    <row r="104" spans="1:19" ht="17.399999999999999">
      <c r="A104" s="294"/>
      <c r="B104" s="297"/>
      <c r="C104" s="298">
        <f>C5</f>
        <v>0</v>
      </c>
      <c r="D104" s="299">
        <f>D5</f>
        <v>0</v>
      </c>
      <c r="E104" s="299">
        <f>E5</f>
        <v>0</v>
      </c>
      <c r="F104" s="300">
        <f>F5</f>
        <v>0</v>
      </c>
      <c r="G104" s="3391">
        <f>G5</f>
        <v>0</v>
      </c>
      <c r="H104" s="3392"/>
      <c r="I104" s="3392"/>
      <c r="J104" s="3392"/>
      <c r="K104" s="3392"/>
      <c r="L104" s="3392"/>
      <c r="M104" s="299">
        <f>M5</f>
        <v>0</v>
      </c>
      <c r="N104" s="299">
        <f>N5</f>
        <v>0</v>
      </c>
      <c r="O104" s="298">
        <f t="shared" si="0"/>
        <v>0</v>
      </c>
      <c r="P104" s="298">
        <f t="shared" si="0"/>
        <v>0</v>
      </c>
      <c r="Q104" s="298">
        <f t="shared" si="0"/>
        <v>0</v>
      </c>
      <c r="R104" s="297">
        <f t="shared" si="0"/>
        <v>0</v>
      </c>
      <c r="S104" s="297"/>
    </row>
    <row r="105" spans="1:19" ht="21" customHeight="1">
      <c r="A105" s="301">
        <f t="shared" ref="A105:A136" si="1">A6</f>
        <v>0</v>
      </c>
      <c r="B105" s="3410"/>
      <c r="C105" s="3410"/>
      <c r="D105" s="302"/>
      <c r="E105" s="303" t="str">
        <f>D6</f>
        <v>תקבולים</v>
      </c>
      <c r="F105" s="302"/>
      <c r="G105" s="302"/>
      <c r="H105" s="302"/>
      <c r="I105" s="302"/>
      <c r="J105" s="304">
        <f>J6</f>
        <v>0</v>
      </c>
      <c r="K105" s="305">
        <f>K6</f>
        <v>0</v>
      </c>
      <c r="L105" s="302"/>
      <c r="M105" s="302"/>
      <c r="N105" s="303" t="str">
        <f>M6</f>
        <v>תשלומים</v>
      </c>
      <c r="O105" s="302"/>
      <c r="P105" s="302"/>
      <c r="Q105" s="302"/>
      <c r="R105" s="302"/>
      <c r="S105" s="304">
        <f>S6</f>
        <v>0</v>
      </c>
    </row>
    <row r="106" spans="1:19">
      <c r="A106" s="306">
        <f t="shared" si="1"/>
        <v>0</v>
      </c>
      <c r="B106" s="3411" t="str">
        <f>B7</f>
        <v>מספר ושם הפרק</v>
      </c>
      <c r="C106" s="3412"/>
      <c r="D106" s="308" t="str">
        <f t="shared" ref="D106:J106" si="2">D7</f>
        <v>ביאור</v>
      </c>
      <c r="E106" s="309" t="str">
        <f t="shared" si="2"/>
        <v>תקציב</v>
      </c>
      <c r="F106" s="309">
        <f t="shared" si="2"/>
        <v>0</v>
      </c>
      <c r="G106" s="309" t="str">
        <f t="shared" si="2"/>
        <v>ביצוע</v>
      </c>
      <c r="H106" s="309">
        <f t="shared" si="2"/>
        <v>0</v>
      </c>
      <c r="I106" s="306" t="str">
        <f t="shared" si="2"/>
        <v>ביצוע</v>
      </c>
      <c r="J106" s="307">
        <f t="shared" si="2"/>
        <v>0</v>
      </c>
      <c r="K106" s="310"/>
      <c r="L106" s="307" t="str">
        <f t="shared" ref="L106:S106" si="3">L7</f>
        <v>מספר ושם הפרק</v>
      </c>
      <c r="M106" s="309" t="str">
        <f t="shared" si="3"/>
        <v>ביאור</v>
      </c>
      <c r="N106" s="309" t="str">
        <f t="shared" si="3"/>
        <v>תקציב</v>
      </c>
      <c r="O106" s="309">
        <f t="shared" si="3"/>
        <v>0</v>
      </c>
      <c r="P106" s="309" t="str">
        <f t="shared" si="3"/>
        <v>ביצוע</v>
      </c>
      <c r="Q106" s="309">
        <f t="shared" si="3"/>
        <v>0</v>
      </c>
      <c r="R106" s="306" t="str">
        <f t="shared" si="3"/>
        <v>ביצוע</v>
      </c>
      <c r="S106" s="307">
        <f t="shared" si="3"/>
        <v>0</v>
      </c>
    </row>
    <row r="107" spans="1:19">
      <c r="A107" s="311">
        <f t="shared" si="1"/>
        <v>0</v>
      </c>
      <c r="B107" s="3413"/>
      <c r="C107" s="3414"/>
      <c r="D107" s="312"/>
      <c r="E107" s="313">
        <f t="shared" ref="E107:J116" si="4">E8</f>
        <v>2015</v>
      </c>
      <c r="F107" s="313">
        <f t="shared" si="4"/>
        <v>0</v>
      </c>
      <c r="G107" s="313">
        <f t="shared" si="4"/>
        <v>2015</v>
      </c>
      <c r="H107" s="313">
        <f t="shared" si="4"/>
        <v>0</v>
      </c>
      <c r="I107" s="311">
        <f t="shared" si="4"/>
        <v>2014</v>
      </c>
      <c r="J107" s="314">
        <f t="shared" si="4"/>
        <v>0</v>
      </c>
      <c r="K107" s="315"/>
      <c r="L107" s="316"/>
      <c r="M107" s="312"/>
      <c r="N107" s="313">
        <f t="shared" ref="N107:S116" si="5">N8</f>
        <v>2015</v>
      </c>
      <c r="O107" s="313">
        <f t="shared" si="5"/>
        <v>0</v>
      </c>
      <c r="P107" s="313">
        <f t="shared" si="5"/>
        <v>2015</v>
      </c>
      <c r="Q107" s="313">
        <f t="shared" si="5"/>
        <v>0</v>
      </c>
      <c r="R107" s="311">
        <f t="shared" si="5"/>
        <v>2014</v>
      </c>
      <c r="S107" s="314">
        <f t="shared" si="5"/>
        <v>0</v>
      </c>
    </row>
    <row r="108" spans="1:19">
      <c r="A108" s="317">
        <f t="shared" si="1"/>
        <v>0</v>
      </c>
      <c r="B108" s="3415">
        <f>B9</f>
        <v>0</v>
      </c>
      <c r="C108" s="3415"/>
      <c r="D108" s="318">
        <f>D9</f>
        <v>0</v>
      </c>
      <c r="E108" s="318">
        <f t="shared" si="4"/>
        <v>0</v>
      </c>
      <c r="F108" s="318">
        <f t="shared" si="4"/>
        <v>0</v>
      </c>
      <c r="G108" s="318">
        <f t="shared" si="4"/>
        <v>0</v>
      </c>
      <c r="H108" s="318">
        <f t="shared" si="4"/>
        <v>0</v>
      </c>
      <c r="I108" s="318">
        <f t="shared" si="4"/>
        <v>0</v>
      </c>
      <c r="J108" s="319">
        <f t="shared" si="4"/>
        <v>0</v>
      </c>
      <c r="K108" s="320">
        <f t="shared" ref="K108:M109" si="6">K9</f>
        <v>0</v>
      </c>
      <c r="L108" s="320">
        <f t="shared" si="6"/>
        <v>0</v>
      </c>
      <c r="M108" s="318">
        <f t="shared" si="6"/>
        <v>0</v>
      </c>
      <c r="N108" s="318">
        <f t="shared" si="5"/>
        <v>0</v>
      </c>
      <c r="O108" s="318">
        <f t="shared" si="5"/>
        <v>0</v>
      </c>
      <c r="P108" s="318">
        <f t="shared" si="5"/>
        <v>0</v>
      </c>
      <c r="Q108" s="318">
        <f t="shared" si="5"/>
        <v>0</v>
      </c>
      <c r="R108" s="318">
        <f t="shared" si="5"/>
        <v>0</v>
      </c>
      <c r="S108" s="319">
        <f t="shared" si="5"/>
        <v>0</v>
      </c>
    </row>
    <row r="109" spans="1:19">
      <c r="A109" s="317" t="str">
        <f>IF(AND($E$117=0,$G$117=0,$I$117=0),"",A10)</f>
        <v>1.</v>
      </c>
      <c r="B109" s="3382" t="str">
        <f>IF(AND($E$117=0,$G$117=0,$I$117=0),"",B10)</f>
        <v>מיסים ומענקים</v>
      </c>
      <c r="C109" s="3382"/>
      <c r="D109" s="318">
        <f>D10</f>
        <v>0</v>
      </c>
      <c r="E109" s="318">
        <f t="shared" si="4"/>
        <v>0</v>
      </c>
      <c r="F109" s="322">
        <f t="shared" si="4"/>
        <v>0</v>
      </c>
      <c r="G109" s="318">
        <f t="shared" si="4"/>
        <v>0</v>
      </c>
      <c r="H109" s="322">
        <f t="shared" si="4"/>
        <v>0</v>
      </c>
      <c r="I109" s="318">
        <f t="shared" si="4"/>
        <v>0</v>
      </c>
      <c r="J109" s="319">
        <f t="shared" si="4"/>
        <v>0</v>
      </c>
      <c r="K109" s="323" t="str">
        <f>IF(AND($N$114=0,$P$114=0,$R$114=0),"",K10)</f>
        <v>6</v>
      </c>
      <c r="L109" s="321" t="str">
        <f>IF(AND($N$114=0,$P$114=0,$R$114=0),"",L10)</f>
        <v xml:space="preserve">הנהלה וכלליות  </v>
      </c>
      <c r="M109" s="322">
        <f t="shared" si="6"/>
        <v>0</v>
      </c>
      <c r="N109" s="318">
        <f t="shared" si="5"/>
        <v>0</v>
      </c>
      <c r="O109" s="322">
        <f t="shared" si="5"/>
        <v>0</v>
      </c>
      <c r="P109" s="318">
        <f t="shared" si="5"/>
        <v>0</v>
      </c>
      <c r="Q109" s="324">
        <f t="shared" si="5"/>
        <v>0</v>
      </c>
      <c r="R109" s="318">
        <f t="shared" si="5"/>
        <v>0</v>
      </c>
      <c r="S109" s="328">
        <f t="shared" si="5"/>
        <v>0</v>
      </c>
    </row>
    <row r="110" spans="1:19">
      <c r="A110" s="317">
        <f t="shared" si="1"/>
        <v>0</v>
      </c>
      <c r="B110" s="3381" t="str">
        <f t="shared" ref="B110:B116" si="7">IF(AND($E11=0,$G11=0,$I11=0),0,$B11)</f>
        <v>11 מיסים</v>
      </c>
      <c r="C110" s="3381"/>
      <c r="D110" s="166" t="str">
        <f t="shared" ref="D110:D116" si="8">IF(AND($D11&lt;&gt;"(***)",OR($E11&lt;&gt;0,$G11,$I11&lt;&gt;0)),$D11,"")</f>
        <v/>
      </c>
      <c r="E110" s="326">
        <f t="shared" si="4"/>
        <v>514500</v>
      </c>
      <c r="F110" s="327">
        <f t="shared" si="4"/>
        <v>0</v>
      </c>
      <c r="G110" s="326">
        <f t="shared" si="4"/>
        <v>539906</v>
      </c>
      <c r="H110" s="327">
        <f t="shared" si="4"/>
        <v>0</v>
      </c>
      <c r="I110" s="326">
        <f t="shared" si="4"/>
        <v>500054</v>
      </c>
      <c r="J110" s="328">
        <f t="shared" si="4"/>
        <v>0</v>
      </c>
      <c r="K110" s="329">
        <f t="shared" ref="K110:K154" si="9">K11</f>
        <v>0</v>
      </c>
      <c r="L110" s="325" t="str">
        <f>IF(AND($N11=0,$P11=0,$R11=0),0,$L11)</f>
        <v>61 מנהל כללי</v>
      </c>
      <c r="M110" s="327" t="str">
        <f>IF(AND($M11&lt;&gt;"(***)",OR($N11&lt;&gt;0,$P11&lt;&gt;0,$R11&lt;&gt;0)),$M11,"")</f>
        <v/>
      </c>
      <c r="N110" s="326">
        <f t="shared" si="5"/>
        <v>29643</v>
      </c>
      <c r="O110" s="330">
        <f t="shared" si="5"/>
        <v>0</v>
      </c>
      <c r="P110" s="326">
        <f t="shared" si="5"/>
        <v>28572</v>
      </c>
      <c r="Q110" s="330">
        <f t="shared" si="5"/>
        <v>0</v>
      </c>
      <c r="R110" s="326">
        <f t="shared" si="5"/>
        <v>27289</v>
      </c>
      <c r="S110" s="328">
        <f t="shared" si="5"/>
        <v>0</v>
      </c>
    </row>
    <row r="111" spans="1:19">
      <c r="A111" s="317">
        <f t="shared" si="1"/>
        <v>0</v>
      </c>
      <c r="B111" s="3381" t="str">
        <f t="shared" si="7"/>
        <v>12 אגרות</v>
      </c>
      <c r="C111" s="3381"/>
      <c r="D111" s="166" t="str">
        <f t="shared" si="8"/>
        <v/>
      </c>
      <c r="E111" s="326">
        <f t="shared" si="4"/>
        <v>3170</v>
      </c>
      <c r="F111" s="327">
        <f t="shared" si="4"/>
        <v>0</v>
      </c>
      <c r="G111" s="326">
        <f t="shared" si="4"/>
        <v>3095</v>
      </c>
      <c r="H111" s="327">
        <f t="shared" si="4"/>
        <v>0</v>
      </c>
      <c r="I111" s="326">
        <f t="shared" si="4"/>
        <v>2803</v>
      </c>
      <c r="J111" s="328">
        <f t="shared" si="4"/>
        <v>0</v>
      </c>
      <c r="K111" s="329">
        <f t="shared" si="9"/>
        <v>0</v>
      </c>
      <c r="L111" s="325" t="str">
        <f>IF(AND($N12=0,$P12=0,$R12=0),0,$L12)</f>
        <v>62 מנהל כספי</v>
      </c>
      <c r="M111" s="327" t="str">
        <f>IF(AND($M12&lt;&gt;"(***)",OR($N12&lt;&gt;0,$P12&lt;&gt;0,$R12&lt;&gt;0)),$M12,"")</f>
        <v/>
      </c>
      <c r="N111" s="326">
        <f t="shared" si="5"/>
        <v>18995</v>
      </c>
      <c r="O111" s="330">
        <f t="shared" si="5"/>
        <v>0</v>
      </c>
      <c r="P111" s="326">
        <f t="shared" si="5"/>
        <v>16742</v>
      </c>
      <c r="Q111" s="330">
        <f t="shared" si="5"/>
        <v>0</v>
      </c>
      <c r="R111" s="326">
        <f t="shared" si="5"/>
        <v>16253</v>
      </c>
      <c r="S111" s="328">
        <f t="shared" si="5"/>
        <v>0</v>
      </c>
    </row>
    <row r="112" spans="1:19">
      <c r="A112" s="317">
        <f t="shared" si="1"/>
        <v>0</v>
      </c>
      <c r="B112" s="3381">
        <f t="shared" si="7"/>
        <v>0</v>
      </c>
      <c r="C112" s="3381"/>
      <c r="D112" s="166" t="str">
        <f t="shared" si="8"/>
        <v/>
      </c>
      <c r="E112" s="330">
        <f t="shared" si="4"/>
        <v>0</v>
      </c>
      <c r="F112" s="327">
        <f t="shared" si="4"/>
        <v>0</v>
      </c>
      <c r="G112" s="330">
        <f t="shared" si="4"/>
        <v>0</v>
      </c>
      <c r="H112" s="327">
        <f t="shared" si="4"/>
        <v>0</v>
      </c>
      <c r="I112" s="330">
        <f t="shared" si="4"/>
        <v>0</v>
      </c>
      <c r="J112" s="328">
        <f t="shared" si="4"/>
        <v>0</v>
      </c>
      <c r="K112" s="329">
        <f t="shared" si="9"/>
        <v>0</v>
      </c>
      <c r="L112" s="325" t="str">
        <f>IF(AND($N13=0,$P13=0,$R13=0),0,$L13)</f>
        <v>63 הוצאות מימון</v>
      </c>
      <c r="M112" s="327" t="str">
        <f>IF(AND($M13&lt;&gt;"(***)",OR($N13&lt;&gt;0,$P13&lt;&gt;0,$R13&lt;&gt;0)),$M13,"")</f>
        <v/>
      </c>
      <c r="N112" s="326">
        <f t="shared" si="5"/>
        <v>2910</v>
      </c>
      <c r="O112" s="330">
        <f t="shared" si="5"/>
        <v>0</v>
      </c>
      <c r="P112" s="326">
        <f t="shared" si="5"/>
        <v>2630</v>
      </c>
      <c r="Q112" s="330">
        <f t="shared" si="5"/>
        <v>0</v>
      </c>
      <c r="R112" s="330">
        <f t="shared" si="5"/>
        <v>2503</v>
      </c>
      <c r="S112" s="328">
        <f t="shared" si="5"/>
        <v>0</v>
      </c>
    </row>
    <row r="113" spans="1:19">
      <c r="A113" s="317">
        <f t="shared" si="1"/>
        <v>0</v>
      </c>
      <c r="B113" s="3381">
        <f t="shared" si="7"/>
        <v>0</v>
      </c>
      <c r="C113" s="3381"/>
      <c r="D113" s="166" t="str">
        <f t="shared" si="8"/>
        <v/>
      </c>
      <c r="E113" s="330">
        <f t="shared" si="4"/>
        <v>0</v>
      </c>
      <c r="F113" s="327">
        <f t="shared" si="4"/>
        <v>0</v>
      </c>
      <c r="G113" s="330">
        <f t="shared" si="4"/>
        <v>0</v>
      </c>
      <c r="H113" s="327">
        <f t="shared" si="4"/>
        <v>0</v>
      </c>
      <c r="I113" s="330">
        <f t="shared" si="4"/>
        <v>0</v>
      </c>
      <c r="J113" s="328">
        <f t="shared" si="4"/>
        <v>0</v>
      </c>
      <c r="K113" s="329">
        <f t="shared" si="9"/>
        <v>0</v>
      </c>
      <c r="L113" s="3031" t="str">
        <f>IF(AND($N14=0,$P14=0,$R14=0),0,$L14)</f>
        <v>64 פרעון מלוות (למעט ביוב ומים)</v>
      </c>
      <c r="M113" s="327" t="str">
        <f>IF(AND($M14&lt;&gt;"(***)",OR($N14&lt;&gt;0,$P14&lt;&gt;0,$R14&lt;&gt;0)),$M14,"")</f>
        <v/>
      </c>
      <c r="N113" s="326">
        <f t="shared" si="5"/>
        <v>26350</v>
      </c>
      <c r="O113" s="330">
        <f t="shared" si="5"/>
        <v>0</v>
      </c>
      <c r="P113" s="326">
        <f t="shared" si="5"/>
        <v>24801</v>
      </c>
      <c r="Q113" s="330">
        <f t="shared" si="5"/>
        <v>0</v>
      </c>
      <c r="R113" s="330">
        <f t="shared" si="5"/>
        <v>30031</v>
      </c>
      <c r="S113" s="328">
        <f t="shared" si="5"/>
        <v>0</v>
      </c>
    </row>
    <row r="114" spans="1:19">
      <c r="A114" s="317">
        <f t="shared" si="1"/>
        <v>0</v>
      </c>
      <c r="B114" s="3386">
        <f t="shared" si="7"/>
        <v>0</v>
      </c>
      <c r="C114" s="3386"/>
      <c r="D114" s="166" t="str">
        <f t="shared" si="8"/>
        <v/>
      </c>
      <c r="E114" s="330">
        <f t="shared" si="4"/>
        <v>0</v>
      </c>
      <c r="F114" s="327">
        <f t="shared" si="4"/>
        <v>0</v>
      </c>
      <c r="G114" s="330">
        <f t="shared" si="4"/>
        <v>0</v>
      </c>
      <c r="H114" s="327">
        <f t="shared" si="4"/>
        <v>0</v>
      </c>
      <c r="I114" s="330">
        <f t="shared" si="4"/>
        <v>0</v>
      </c>
      <c r="J114" s="328">
        <f t="shared" si="4"/>
        <v>0</v>
      </c>
      <c r="K114" s="336">
        <f t="shared" si="9"/>
        <v>0</v>
      </c>
      <c r="L114" s="335">
        <f t="shared" ref="L114:M119" si="10">L15</f>
        <v>0</v>
      </c>
      <c r="M114" s="166">
        <f t="shared" si="10"/>
        <v>0</v>
      </c>
      <c r="N114" s="337">
        <f t="shared" si="5"/>
        <v>77898</v>
      </c>
      <c r="O114" s="330">
        <f t="shared" si="5"/>
        <v>0</v>
      </c>
      <c r="P114" s="337">
        <f t="shared" si="5"/>
        <v>72745</v>
      </c>
      <c r="Q114" s="330">
        <f t="shared" si="5"/>
        <v>0</v>
      </c>
      <c r="R114" s="337">
        <f t="shared" si="5"/>
        <v>76076</v>
      </c>
      <c r="S114" s="328">
        <f t="shared" si="5"/>
        <v>0</v>
      </c>
    </row>
    <row r="115" spans="1:19">
      <c r="A115" s="317">
        <f t="shared" si="1"/>
        <v>0</v>
      </c>
      <c r="B115" s="3386">
        <f t="shared" si="7"/>
        <v>0</v>
      </c>
      <c r="C115" s="3386"/>
      <c r="D115" s="166" t="str">
        <f t="shared" si="8"/>
        <v/>
      </c>
      <c r="E115" s="330">
        <f t="shared" si="4"/>
        <v>0</v>
      </c>
      <c r="F115" s="327">
        <f t="shared" si="4"/>
        <v>0</v>
      </c>
      <c r="G115" s="330">
        <f t="shared" si="4"/>
        <v>0</v>
      </c>
      <c r="H115" s="327">
        <f t="shared" si="4"/>
        <v>0</v>
      </c>
      <c r="I115" s="330">
        <f t="shared" si="4"/>
        <v>0</v>
      </c>
      <c r="J115" s="328">
        <f t="shared" si="4"/>
        <v>0</v>
      </c>
      <c r="K115" s="336">
        <f t="shared" si="9"/>
        <v>0</v>
      </c>
      <c r="L115" s="335">
        <f t="shared" si="10"/>
        <v>0</v>
      </c>
      <c r="M115" s="166">
        <f t="shared" si="10"/>
        <v>0</v>
      </c>
      <c r="N115" s="338">
        <f t="shared" si="5"/>
        <v>0</v>
      </c>
      <c r="O115" s="338">
        <f t="shared" si="5"/>
        <v>0</v>
      </c>
      <c r="P115" s="338">
        <f t="shared" si="5"/>
        <v>0</v>
      </c>
      <c r="Q115" s="338">
        <f t="shared" si="5"/>
        <v>0</v>
      </c>
      <c r="R115" s="330">
        <f t="shared" si="5"/>
        <v>0</v>
      </c>
      <c r="S115" s="328">
        <f t="shared" si="5"/>
        <v>0</v>
      </c>
    </row>
    <row r="116" spans="1:19">
      <c r="A116" s="317">
        <f t="shared" si="1"/>
        <v>0</v>
      </c>
      <c r="B116" s="3386">
        <f t="shared" si="7"/>
        <v>0</v>
      </c>
      <c r="C116" s="3386"/>
      <c r="D116" s="166" t="str">
        <f t="shared" si="8"/>
        <v/>
      </c>
      <c r="E116" s="330">
        <f t="shared" si="4"/>
        <v>0</v>
      </c>
      <c r="F116" s="327">
        <f t="shared" si="4"/>
        <v>0</v>
      </c>
      <c r="G116" s="330">
        <f t="shared" si="4"/>
        <v>0</v>
      </c>
      <c r="H116" s="338">
        <f t="shared" si="4"/>
        <v>0</v>
      </c>
      <c r="I116" s="330">
        <f t="shared" si="4"/>
        <v>0</v>
      </c>
      <c r="J116" s="328">
        <f t="shared" si="4"/>
        <v>0</v>
      </c>
      <c r="K116" s="336">
        <f t="shared" si="9"/>
        <v>0</v>
      </c>
      <c r="L116" s="335">
        <f t="shared" si="10"/>
        <v>0</v>
      </c>
      <c r="M116" s="166">
        <f t="shared" si="10"/>
        <v>0</v>
      </c>
      <c r="N116" s="166">
        <f t="shared" si="5"/>
        <v>0</v>
      </c>
      <c r="O116" s="166">
        <f t="shared" si="5"/>
        <v>0</v>
      </c>
      <c r="P116" s="166">
        <f t="shared" si="5"/>
        <v>0</v>
      </c>
      <c r="Q116" s="166">
        <f t="shared" si="5"/>
        <v>0</v>
      </c>
      <c r="R116" s="330">
        <f t="shared" si="5"/>
        <v>0</v>
      </c>
      <c r="S116" s="328">
        <f t="shared" si="5"/>
        <v>0</v>
      </c>
    </row>
    <row r="117" spans="1:19">
      <c r="A117" s="317">
        <f t="shared" si="1"/>
        <v>0</v>
      </c>
      <c r="B117" s="3381">
        <f>B18</f>
        <v>0</v>
      </c>
      <c r="C117" s="3381"/>
      <c r="D117" s="318">
        <f>D18</f>
        <v>0</v>
      </c>
      <c r="E117" s="337">
        <f t="shared" ref="E117:J126" si="11">E18</f>
        <v>517670</v>
      </c>
      <c r="F117" s="338">
        <f t="shared" si="11"/>
        <v>0</v>
      </c>
      <c r="G117" s="337">
        <f t="shared" si="11"/>
        <v>543001</v>
      </c>
      <c r="H117" s="338">
        <f t="shared" si="11"/>
        <v>0</v>
      </c>
      <c r="I117" s="337">
        <f t="shared" si="11"/>
        <v>502857</v>
      </c>
      <c r="J117" s="328">
        <f t="shared" si="11"/>
        <v>0</v>
      </c>
      <c r="K117" s="336">
        <f t="shared" si="9"/>
        <v>0</v>
      </c>
      <c r="L117" s="325">
        <f t="shared" si="10"/>
        <v>0</v>
      </c>
      <c r="M117" s="338">
        <f t="shared" si="10"/>
        <v>0</v>
      </c>
      <c r="N117" s="166">
        <f t="shared" ref="N117:S126" si="12">N18</f>
        <v>0</v>
      </c>
      <c r="O117" s="166">
        <f t="shared" si="12"/>
        <v>0</v>
      </c>
      <c r="P117" s="166">
        <f t="shared" si="12"/>
        <v>0</v>
      </c>
      <c r="Q117" s="166">
        <f t="shared" si="12"/>
        <v>0</v>
      </c>
      <c r="R117" s="337">
        <f t="shared" si="12"/>
        <v>0</v>
      </c>
      <c r="S117" s="328">
        <f t="shared" si="12"/>
        <v>0</v>
      </c>
    </row>
    <row r="118" spans="1:19">
      <c r="A118" s="317">
        <f t="shared" si="1"/>
        <v>0</v>
      </c>
      <c r="B118" s="3381">
        <f>B19</f>
        <v>0</v>
      </c>
      <c r="C118" s="3381"/>
      <c r="D118" s="318">
        <f>D19</f>
        <v>0</v>
      </c>
      <c r="E118" s="338">
        <f t="shared" si="11"/>
        <v>0</v>
      </c>
      <c r="F118" s="338">
        <f t="shared" si="11"/>
        <v>0</v>
      </c>
      <c r="G118" s="338">
        <f t="shared" si="11"/>
        <v>0</v>
      </c>
      <c r="H118" s="338">
        <f t="shared" si="11"/>
        <v>0</v>
      </c>
      <c r="I118" s="338">
        <f t="shared" si="11"/>
        <v>0</v>
      </c>
      <c r="J118" s="328">
        <f t="shared" si="11"/>
        <v>0</v>
      </c>
      <c r="K118" s="336">
        <f t="shared" si="9"/>
        <v>0</v>
      </c>
      <c r="L118" s="325">
        <f t="shared" si="10"/>
        <v>0</v>
      </c>
      <c r="M118" s="338">
        <f t="shared" si="10"/>
        <v>0</v>
      </c>
      <c r="N118" s="338">
        <f t="shared" si="12"/>
        <v>0</v>
      </c>
      <c r="O118" s="338">
        <f t="shared" si="12"/>
        <v>0</v>
      </c>
      <c r="P118" s="338">
        <f t="shared" si="12"/>
        <v>0</v>
      </c>
      <c r="Q118" s="338">
        <f t="shared" si="12"/>
        <v>0</v>
      </c>
      <c r="R118" s="338">
        <f t="shared" si="12"/>
        <v>0</v>
      </c>
      <c r="S118" s="328">
        <f t="shared" si="12"/>
        <v>0</v>
      </c>
    </row>
    <row r="119" spans="1:19">
      <c r="A119" s="317" t="str">
        <f>IF(AND($E$129=0,$G$129=0,$I$129=0),"",A20)</f>
        <v>2.</v>
      </c>
      <c r="B119" s="3382" t="str">
        <f>IF(AND($E$129=0,$G$129=0,$I$129=0),"",B20)</f>
        <v>שרותים מקומיים</v>
      </c>
      <c r="C119" s="3382"/>
      <c r="D119" s="318">
        <f>D20</f>
        <v>0</v>
      </c>
      <c r="E119" s="338">
        <f t="shared" si="11"/>
        <v>0</v>
      </c>
      <c r="F119" s="338">
        <f t="shared" si="11"/>
        <v>0</v>
      </c>
      <c r="G119" s="338">
        <f t="shared" si="11"/>
        <v>0</v>
      </c>
      <c r="H119" s="338">
        <f t="shared" si="11"/>
        <v>0</v>
      </c>
      <c r="I119" s="338">
        <f t="shared" si="11"/>
        <v>0</v>
      </c>
      <c r="J119" s="328">
        <f t="shared" si="11"/>
        <v>0</v>
      </c>
      <c r="K119" s="336" t="str">
        <f>IF(AND($N$129=0,$P$129=0,$R$129=0),"",K20)</f>
        <v>7</v>
      </c>
      <c r="L119" s="321" t="str">
        <f>IF(AND($N$129=0,$P$129=0,$R$129=0),"",L20)</f>
        <v>שרותים מקומיים</v>
      </c>
      <c r="M119" s="338">
        <f t="shared" si="10"/>
        <v>0</v>
      </c>
      <c r="N119" s="338">
        <f t="shared" si="12"/>
        <v>0</v>
      </c>
      <c r="O119" s="338">
        <f t="shared" si="12"/>
        <v>0</v>
      </c>
      <c r="P119" s="338">
        <f t="shared" si="12"/>
        <v>0</v>
      </c>
      <c r="Q119" s="338">
        <f t="shared" si="12"/>
        <v>0</v>
      </c>
      <c r="R119" s="338">
        <f t="shared" si="12"/>
        <v>0</v>
      </c>
      <c r="S119" s="328">
        <f t="shared" si="12"/>
        <v>0</v>
      </c>
    </row>
    <row r="120" spans="1:19">
      <c r="A120" s="317">
        <f t="shared" si="1"/>
        <v>0</v>
      </c>
      <c r="B120" s="3381" t="str">
        <f t="shared" ref="B120:B128" si="13">IF(AND($E21=0,$G21=0,$I21=0),0,$B21)</f>
        <v>21 תברואה</v>
      </c>
      <c r="C120" s="3389"/>
      <c r="D120" s="318" t="str">
        <f t="shared" ref="D120:D128" si="14">IF(AND($D21&lt;&gt;"(***)",OR($E21&lt;&gt;0,$G21,$I21&lt;&gt;0)),$D21,"")</f>
        <v/>
      </c>
      <c r="E120" s="326">
        <f t="shared" si="11"/>
        <v>5718</v>
      </c>
      <c r="F120" s="338">
        <f t="shared" si="11"/>
        <v>0</v>
      </c>
      <c r="G120" s="326">
        <f t="shared" si="11"/>
        <v>3497</v>
      </c>
      <c r="H120" s="338">
        <f t="shared" si="11"/>
        <v>0</v>
      </c>
      <c r="I120" s="326">
        <f t="shared" si="11"/>
        <v>4023</v>
      </c>
      <c r="J120" s="328">
        <f t="shared" si="11"/>
        <v>0</v>
      </c>
      <c r="K120" s="336">
        <f t="shared" si="9"/>
        <v>0</v>
      </c>
      <c r="L120" s="325" t="str">
        <f t="shared" ref="L120:L128" si="15">IF(AND($N21=0,$P21=0,$R21=0),0,$L21)</f>
        <v>71 תברואה</v>
      </c>
      <c r="M120" s="338" t="str">
        <f t="shared" ref="M120:M128" si="16">IF(AND($M21&lt;&gt;"(***)",OR($N21&lt;&gt;0,$P21&lt;&gt;0,$R21&lt;&gt;0)),$M21,"")</f>
        <v/>
      </c>
      <c r="N120" s="326">
        <f t="shared" si="12"/>
        <v>68921</v>
      </c>
      <c r="O120" s="338">
        <f t="shared" si="12"/>
        <v>0</v>
      </c>
      <c r="P120" s="326">
        <f t="shared" si="12"/>
        <v>67782</v>
      </c>
      <c r="Q120" s="338">
        <f t="shared" si="12"/>
        <v>0</v>
      </c>
      <c r="R120" s="326">
        <f t="shared" si="12"/>
        <v>64817</v>
      </c>
      <c r="S120" s="328">
        <f t="shared" si="12"/>
        <v>0</v>
      </c>
    </row>
    <row r="121" spans="1:19">
      <c r="A121" s="317">
        <f t="shared" si="1"/>
        <v>0</v>
      </c>
      <c r="B121" s="3381" t="str">
        <f t="shared" si="13"/>
        <v>22 שמירה וביטחון</v>
      </c>
      <c r="C121" s="3389"/>
      <c r="D121" s="318" t="str">
        <f t="shared" si="14"/>
        <v/>
      </c>
      <c r="E121" s="326">
        <f t="shared" si="11"/>
        <v>113</v>
      </c>
      <c r="F121" s="338">
        <f t="shared" si="11"/>
        <v>0</v>
      </c>
      <c r="G121" s="326">
        <f t="shared" si="11"/>
        <v>197</v>
      </c>
      <c r="H121" s="338">
        <f t="shared" si="11"/>
        <v>0</v>
      </c>
      <c r="I121" s="326">
        <f t="shared" si="11"/>
        <v>173</v>
      </c>
      <c r="J121" s="328">
        <f t="shared" si="11"/>
        <v>0</v>
      </c>
      <c r="K121" s="336">
        <f t="shared" si="9"/>
        <v>0</v>
      </c>
      <c r="L121" s="325" t="str">
        <f t="shared" si="15"/>
        <v>72 שמירה וביטחון</v>
      </c>
      <c r="M121" s="338" t="str">
        <f t="shared" si="16"/>
        <v/>
      </c>
      <c r="N121" s="326">
        <f t="shared" si="12"/>
        <v>12831</v>
      </c>
      <c r="O121" s="338">
        <f t="shared" si="12"/>
        <v>0</v>
      </c>
      <c r="P121" s="326">
        <f t="shared" si="12"/>
        <v>11796</v>
      </c>
      <c r="Q121" s="338">
        <f t="shared" si="12"/>
        <v>0</v>
      </c>
      <c r="R121" s="326">
        <f t="shared" si="12"/>
        <v>11709</v>
      </c>
      <c r="S121" s="328">
        <f t="shared" si="12"/>
        <v>0</v>
      </c>
    </row>
    <row r="122" spans="1:19">
      <c r="A122" s="317">
        <f t="shared" si="1"/>
        <v>0</v>
      </c>
      <c r="B122" s="3381" t="str">
        <f t="shared" si="13"/>
        <v>23 תכנון ובנין העיר</v>
      </c>
      <c r="C122" s="3389"/>
      <c r="D122" s="318" t="str">
        <f t="shared" si="14"/>
        <v/>
      </c>
      <c r="E122" s="326">
        <f t="shared" si="11"/>
        <v>19175</v>
      </c>
      <c r="F122" s="338">
        <f t="shared" si="11"/>
        <v>0</v>
      </c>
      <c r="G122" s="326">
        <f t="shared" si="11"/>
        <v>17861</v>
      </c>
      <c r="H122" s="338">
        <f t="shared" si="11"/>
        <v>0</v>
      </c>
      <c r="I122" s="326">
        <f t="shared" si="11"/>
        <v>13304</v>
      </c>
      <c r="J122" s="328">
        <f t="shared" si="11"/>
        <v>0</v>
      </c>
      <c r="K122" s="336">
        <f t="shared" si="9"/>
        <v>0</v>
      </c>
      <c r="L122" s="325" t="str">
        <f t="shared" si="15"/>
        <v>73 תכנון ובנין העיר</v>
      </c>
      <c r="M122" s="338" t="str">
        <f t="shared" si="16"/>
        <v/>
      </c>
      <c r="N122" s="326">
        <f t="shared" si="12"/>
        <v>15931</v>
      </c>
      <c r="O122" s="338">
        <f t="shared" si="12"/>
        <v>0</v>
      </c>
      <c r="P122" s="326">
        <f t="shared" si="12"/>
        <v>14634</v>
      </c>
      <c r="Q122" s="338">
        <f t="shared" si="12"/>
        <v>0</v>
      </c>
      <c r="R122" s="326">
        <f t="shared" si="12"/>
        <v>13409</v>
      </c>
      <c r="S122" s="328">
        <f t="shared" si="12"/>
        <v>0</v>
      </c>
    </row>
    <row r="123" spans="1:19">
      <c r="A123" s="317">
        <f t="shared" si="1"/>
        <v>0</v>
      </c>
      <c r="B123" s="3381" t="str">
        <f t="shared" si="13"/>
        <v>24 נכסים ציבוריים</v>
      </c>
      <c r="C123" s="3389"/>
      <c r="D123" s="318" t="str">
        <f t="shared" si="14"/>
        <v/>
      </c>
      <c r="E123" s="326">
        <f t="shared" si="11"/>
        <v>2315</v>
      </c>
      <c r="F123" s="327">
        <f t="shared" si="11"/>
        <v>0</v>
      </c>
      <c r="G123" s="326">
        <f t="shared" si="11"/>
        <v>1295</v>
      </c>
      <c r="H123" s="327">
        <f t="shared" si="11"/>
        <v>0</v>
      </c>
      <c r="I123" s="326">
        <f t="shared" si="11"/>
        <v>2085</v>
      </c>
      <c r="J123" s="328">
        <f t="shared" si="11"/>
        <v>0</v>
      </c>
      <c r="K123" s="329">
        <f t="shared" si="9"/>
        <v>0</v>
      </c>
      <c r="L123" s="325" t="str">
        <f t="shared" si="15"/>
        <v>74 נכסים ציבוריים</v>
      </c>
      <c r="M123" s="338" t="str">
        <f t="shared" si="16"/>
        <v/>
      </c>
      <c r="N123" s="326">
        <f t="shared" si="12"/>
        <v>57934</v>
      </c>
      <c r="O123" s="338">
        <f t="shared" si="12"/>
        <v>0</v>
      </c>
      <c r="P123" s="326">
        <f t="shared" si="12"/>
        <v>53283</v>
      </c>
      <c r="Q123" s="338">
        <f t="shared" si="12"/>
        <v>0</v>
      </c>
      <c r="R123" s="326">
        <f t="shared" si="12"/>
        <v>53872</v>
      </c>
      <c r="S123" s="328">
        <f t="shared" si="12"/>
        <v>0</v>
      </c>
    </row>
    <row r="124" spans="1:19">
      <c r="A124" s="317">
        <f t="shared" si="1"/>
        <v>0</v>
      </c>
      <c r="B124" s="3381">
        <f t="shared" si="13"/>
        <v>0</v>
      </c>
      <c r="C124" s="3389"/>
      <c r="D124" s="318" t="str">
        <f t="shared" si="14"/>
        <v/>
      </c>
      <c r="E124" s="326">
        <f t="shared" si="11"/>
        <v>0</v>
      </c>
      <c r="F124" s="338">
        <f t="shared" si="11"/>
        <v>0</v>
      </c>
      <c r="G124" s="326">
        <f t="shared" si="11"/>
        <v>0</v>
      </c>
      <c r="H124" s="338">
        <f t="shared" si="11"/>
        <v>0</v>
      </c>
      <c r="I124" s="326">
        <f t="shared" si="11"/>
        <v>0</v>
      </c>
      <c r="J124" s="328">
        <f t="shared" si="11"/>
        <v>0</v>
      </c>
      <c r="K124" s="336">
        <f t="shared" si="9"/>
        <v>0</v>
      </c>
      <c r="L124" s="325" t="str">
        <f t="shared" si="15"/>
        <v>75 חגיגות, מבצעים ואירועים</v>
      </c>
      <c r="M124" s="338" t="str">
        <f t="shared" si="16"/>
        <v/>
      </c>
      <c r="N124" s="326">
        <f t="shared" si="12"/>
        <v>1723</v>
      </c>
      <c r="O124" s="338">
        <f t="shared" si="12"/>
        <v>0</v>
      </c>
      <c r="P124" s="326">
        <f t="shared" si="12"/>
        <v>1686</v>
      </c>
      <c r="Q124" s="338">
        <f t="shared" si="12"/>
        <v>0</v>
      </c>
      <c r="R124" s="326">
        <f t="shared" si="12"/>
        <v>1375</v>
      </c>
      <c r="S124" s="328">
        <f t="shared" si="12"/>
        <v>0</v>
      </c>
    </row>
    <row r="125" spans="1:19">
      <c r="A125" s="317">
        <f t="shared" si="1"/>
        <v>0</v>
      </c>
      <c r="B125" s="3381" t="str">
        <f t="shared" si="13"/>
        <v>26 שרותים עירוניים שונים</v>
      </c>
      <c r="C125" s="3389"/>
      <c r="D125" s="318" t="str">
        <f t="shared" si="14"/>
        <v/>
      </c>
      <c r="E125" s="326">
        <f t="shared" si="11"/>
        <v>660</v>
      </c>
      <c r="F125" s="338">
        <f t="shared" si="11"/>
        <v>0</v>
      </c>
      <c r="G125" s="326">
        <f t="shared" si="11"/>
        <v>747</v>
      </c>
      <c r="H125" s="338">
        <f t="shared" si="11"/>
        <v>0</v>
      </c>
      <c r="I125" s="326">
        <f t="shared" si="11"/>
        <v>680</v>
      </c>
      <c r="J125" s="328">
        <f t="shared" si="11"/>
        <v>0</v>
      </c>
      <c r="K125" s="336">
        <f t="shared" si="9"/>
        <v>0</v>
      </c>
      <c r="L125" s="325" t="str">
        <f t="shared" si="15"/>
        <v>76 שרותים עירוניים שונים</v>
      </c>
      <c r="M125" s="338" t="str">
        <f t="shared" si="16"/>
        <v/>
      </c>
      <c r="N125" s="326">
        <f t="shared" si="12"/>
        <v>15903</v>
      </c>
      <c r="O125" s="338">
        <f t="shared" si="12"/>
        <v>0</v>
      </c>
      <c r="P125" s="326">
        <f t="shared" si="12"/>
        <v>14896</v>
      </c>
      <c r="Q125" s="338">
        <f t="shared" si="12"/>
        <v>0</v>
      </c>
      <c r="R125" s="326">
        <f t="shared" si="12"/>
        <v>13567</v>
      </c>
      <c r="S125" s="328">
        <f t="shared" si="12"/>
        <v>0</v>
      </c>
    </row>
    <row r="126" spans="1:19">
      <c r="A126" s="317">
        <f t="shared" si="1"/>
        <v>0</v>
      </c>
      <c r="B126" s="3381">
        <f t="shared" si="13"/>
        <v>0</v>
      </c>
      <c r="C126" s="3389"/>
      <c r="D126" s="318" t="str">
        <f t="shared" si="14"/>
        <v/>
      </c>
      <c r="E126" s="326">
        <f t="shared" si="11"/>
        <v>0</v>
      </c>
      <c r="F126" s="338">
        <f t="shared" si="11"/>
        <v>0</v>
      </c>
      <c r="G126" s="326">
        <f t="shared" si="11"/>
        <v>0</v>
      </c>
      <c r="H126" s="338">
        <f t="shared" si="11"/>
        <v>0</v>
      </c>
      <c r="I126" s="326">
        <f t="shared" si="11"/>
        <v>0</v>
      </c>
      <c r="J126" s="328">
        <f t="shared" si="11"/>
        <v>0</v>
      </c>
      <c r="K126" s="336">
        <f t="shared" si="9"/>
        <v>0</v>
      </c>
      <c r="L126" s="325" t="str">
        <f t="shared" si="15"/>
        <v>77 פיתוח כלכלי</v>
      </c>
      <c r="M126" s="338" t="str">
        <f t="shared" si="16"/>
        <v/>
      </c>
      <c r="N126" s="326">
        <f t="shared" si="12"/>
        <v>926</v>
      </c>
      <c r="O126" s="338">
        <f t="shared" si="12"/>
        <v>0</v>
      </c>
      <c r="P126" s="326">
        <f t="shared" si="12"/>
        <v>873</v>
      </c>
      <c r="Q126" s="338">
        <f t="shared" si="12"/>
        <v>0</v>
      </c>
      <c r="R126" s="326">
        <f t="shared" si="12"/>
        <v>657</v>
      </c>
      <c r="S126" s="328">
        <f t="shared" si="12"/>
        <v>0</v>
      </c>
    </row>
    <row r="127" spans="1:19">
      <c r="A127" s="317">
        <f t="shared" si="1"/>
        <v>0</v>
      </c>
      <c r="B127" s="3381" t="str">
        <f t="shared" si="13"/>
        <v>28 פיקוח עירוני</v>
      </c>
      <c r="C127" s="3389"/>
      <c r="D127" s="318" t="str">
        <f t="shared" si="14"/>
        <v/>
      </c>
      <c r="E127" s="326">
        <f t="shared" ref="E127:J136" si="17">E28</f>
        <v>1700</v>
      </c>
      <c r="F127" s="338">
        <f t="shared" si="17"/>
        <v>0</v>
      </c>
      <c r="G127" s="326">
        <f t="shared" si="17"/>
        <v>1103</v>
      </c>
      <c r="H127" s="338">
        <f t="shared" si="17"/>
        <v>0</v>
      </c>
      <c r="I127" s="326">
        <f t="shared" si="17"/>
        <v>1778</v>
      </c>
      <c r="J127" s="328">
        <f t="shared" si="17"/>
        <v>0</v>
      </c>
      <c r="K127" s="336">
        <f t="shared" si="9"/>
        <v>0</v>
      </c>
      <c r="L127" s="325" t="str">
        <f t="shared" si="15"/>
        <v>78 פיקוח עירוני</v>
      </c>
      <c r="M127" s="338" t="str">
        <f t="shared" si="16"/>
        <v/>
      </c>
      <c r="N127" s="326">
        <f t="shared" ref="N127:S136" si="18">N28</f>
        <v>8871</v>
      </c>
      <c r="O127" s="338">
        <f t="shared" si="18"/>
        <v>0</v>
      </c>
      <c r="P127" s="326">
        <f t="shared" si="18"/>
        <v>7474</v>
      </c>
      <c r="Q127" s="338">
        <f t="shared" si="18"/>
        <v>0</v>
      </c>
      <c r="R127" s="326">
        <f t="shared" si="18"/>
        <v>8250</v>
      </c>
      <c r="S127" s="328">
        <f t="shared" si="18"/>
        <v>0</v>
      </c>
    </row>
    <row r="128" spans="1:19">
      <c r="A128" s="317">
        <f t="shared" si="1"/>
        <v>0</v>
      </c>
      <c r="B128" s="3381" t="str">
        <f t="shared" si="13"/>
        <v>29 שירותים חקלאיים</v>
      </c>
      <c r="C128" s="3389"/>
      <c r="D128" s="318" t="str">
        <f t="shared" si="14"/>
        <v/>
      </c>
      <c r="E128" s="330">
        <f t="shared" si="17"/>
        <v>50</v>
      </c>
      <c r="F128" s="338">
        <f t="shared" si="17"/>
        <v>0</v>
      </c>
      <c r="G128" s="330">
        <f t="shared" si="17"/>
        <v>65</v>
      </c>
      <c r="H128" s="338">
        <f t="shared" si="17"/>
        <v>0</v>
      </c>
      <c r="I128" s="330">
        <f t="shared" si="17"/>
        <v>65</v>
      </c>
      <c r="J128" s="328">
        <f t="shared" si="17"/>
        <v>0</v>
      </c>
      <c r="K128" s="336">
        <f t="shared" si="9"/>
        <v>0</v>
      </c>
      <c r="L128" s="325" t="str">
        <f t="shared" si="15"/>
        <v>79 שירותים חקלאיים</v>
      </c>
      <c r="M128" s="338" t="str">
        <f t="shared" si="16"/>
        <v/>
      </c>
      <c r="N128" s="326">
        <f t="shared" si="18"/>
        <v>34</v>
      </c>
      <c r="O128" s="338">
        <f t="shared" si="18"/>
        <v>0</v>
      </c>
      <c r="P128" s="326">
        <f t="shared" si="18"/>
        <v>43</v>
      </c>
      <c r="Q128" s="338">
        <f t="shared" si="18"/>
        <v>0</v>
      </c>
      <c r="R128" s="330">
        <f t="shared" si="18"/>
        <v>43</v>
      </c>
      <c r="S128" s="328">
        <f t="shared" si="18"/>
        <v>0</v>
      </c>
    </row>
    <row r="129" spans="1:19">
      <c r="A129" s="317">
        <f t="shared" si="1"/>
        <v>0</v>
      </c>
      <c r="B129" s="3381">
        <f>B30</f>
        <v>0</v>
      </c>
      <c r="C129" s="3381"/>
      <c r="D129" s="318">
        <f>D30</f>
        <v>0</v>
      </c>
      <c r="E129" s="337">
        <f t="shared" si="17"/>
        <v>29731</v>
      </c>
      <c r="F129" s="338">
        <f t="shared" si="17"/>
        <v>0</v>
      </c>
      <c r="G129" s="337">
        <f t="shared" si="17"/>
        <v>24765</v>
      </c>
      <c r="H129" s="338">
        <f t="shared" si="17"/>
        <v>0</v>
      </c>
      <c r="I129" s="337">
        <f t="shared" si="17"/>
        <v>22108</v>
      </c>
      <c r="J129" s="328">
        <f t="shared" si="17"/>
        <v>0</v>
      </c>
      <c r="K129" s="336">
        <f t="shared" si="9"/>
        <v>0</v>
      </c>
      <c r="L129" s="325">
        <f t="shared" ref="L129:M131" si="19">L30</f>
        <v>0</v>
      </c>
      <c r="M129" s="338">
        <f t="shared" si="19"/>
        <v>0</v>
      </c>
      <c r="N129" s="337">
        <f t="shared" si="18"/>
        <v>183074</v>
      </c>
      <c r="O129" s="338">
        <f t="shared" si="18"/>
        <v>0</v>
      </c>
      <c r="P129" s="337">
        <f t="shared" si="18"/>
        <v>172467</v>
      </c>
      <c r="Q129" s="338">
        <f t="shared" si="18"/>
        <v>0</v>
      </c>
      <c r="R129" s="337">
        <f t="shared" si="18"/>
        <v>167699</v>
      </c>
      <c r="S129" s="328">
        <f t="shared" si="18"/>
        <v>0</v>
      </c>
    </row>
    <row r="130" spans="1:19">
      <c r="A130" s="317">
        <f t="shared" si="1"/>
        <v>0</v>
      </c>
      <c r="B130" s="3381">
        <f>B31</f>
        <v>0</v>
      </c>
      <c r="C130" s="3381"/>
      <c r="D130" s="318">
        <f>D31</f>
        <v>0</v>
      </c>
      <c r="E130" s="338">
        <f t="shared" si="17"/>
        <v>0</v>
      </c>
      <c r="F130" s="338">
        <f t="shared" si="17"/>
        <v>0</v>
      </c>
      <c r="G130" s="338">
        <f t="shared" si="17"/>
        <v>0</v>
      </c>
      <c r="H130" s="338">
        <f t="shared" si="17"/>
        <v>0</v>
      </c>
      <c r="I130" s="338">
        <f t="shared" si="17"/>
        <v>0</v>
      </c>
      <c r="J130" s="328">
        <f t="shared" si="17"/>
        <v>0</v>
      </c>
      <c r="K130" s="336">
        <f t="shared" si="9"/>
        <v>0</v>
      </c>
      <c r="L130" s="325">
        <f t="shared" si="19"/>
        <v>0</v>
      </c>
      <c r="M130" s="338">
        <f t="shared" si="19"/>
        <v>0</v>
      </c>
      <c r="N130" s="338">
        <f t="shared" si="18"/>
        <v>0</v>
      </c>
      <c r="O130" s="338">
        <f t="shared" si="18"/>
        <v>0</v>
      </c>
      <c r="P130" s="338">
        <f t="shared" si="18"/>
        <v>0</v>
      </c>
      <c r="Q130" s="338">
        <f t="shared" si="18"/>
        <v>0</v>
      </c>
      <c r="R130" s="338">
        <f t="shared" si="18"/>
        <v>0</v>
      </c>
      <c r="S130" s="328">
        <f t="shared" si="18"/>
        <v>0</v>
      </c>
    </row>
    <row r="131" spans="1:19">
      <c r="A131" s="317" t="str">
        <f>IF(AND($E$139=0,$G$139=0,$I$139=0),"",A32)</f>
        <v>3.</v>
      </c>
      <c r="B131" s="3382" t="str">
        <f>IF(AND($E$139=0,$G$139=0,$I$139=0),"",B32)</f>
        <v>שרותים ממלכתיים</v>
      </c>
      <c r="C131" s="3382"/>
      <c r="D131" s="318">
        <f>D32</f>
        <v>0</v>
      </c>
      <c r="E131" s="338">
        <f t="shared" si="17"/>
        <v>0</v>
      </c>
      <c r="F131" s="338">
        <f t="shared" si="17"/>
        <v>0</v>
      </c>
      <c r="G131" s="338">
        <f t="shared" si="17"/>
        <v>0</v>
      </c>
      <c r="H131" s="338">
        <f t="shared" si="17"/>
        <v>0</v>
      </c>
      <c r="I131" s="338">
        <f t="shared" si="17"/>
        <v>0</v>
      </c>
      <c r="J131" s="328">
        <f t="shared" si="17"/>
        <v>0</v>
      </c>
      <c r="K131" s="336" t="str">
        <f>IF(AND($N$139=0,$P$139=0,$R$139=0),"",K32)</f>
        <v>8</v>
      </c>
      <c r="L131" s="321" t="str">
        <f>IF(AND($N$139=0,$P$139=0,$R$139=0),"",L32)</f>
        <v>שרותים ממלכתיים</v>
      </c>
      <c r="M131" s="338">
        <f t="shared" si="19"/>
        <v>0</v>
      </c>
      <c r="N131" s="338">
        <f t="shared" si="18"/>
        <v>0</v>
      </c>
      <c r="O131" s="338">
        <f t="shared" si="18"/>
        <v>0</v>
      </c>
      <c r="P131" s="338">
        <f t="shared" si="18"/>
        <v>0</v>
      </c>
      <c r="Q131" s="338">
        <f t="shared" si="18"/>
        <v>0</v>
      </c>
      <c r="R131" s="338">
        <f t="shared" si="18"/>
        <v>0</v>
      </c>
      <c r="S131" s="328">
        <f t="shared" si="18"/>
        <v>0</v>
      </c>
    </row>
    <row r="132" spans="1:19">
      <c r="A132" s="317">
        <f t="shared" si="1"/>
        <v>0</v>
      </c>
      <c r="B132" s="3381" t="str">
        <f t="shared" ref="B132:B138" si="20">IF(AND($E33=0,$G33=0,$I33=0),0,$B33)</f>
        <v>31 חינוך</v>
      </c>
      <c r="C132" s="3381"/>
      <c r="D132" s="318">
        <f t="shared" ref="D132:D138" si="21">IF(AND($D33&lt;&gt;"(***)",OR($E33&lt;&gt;0,$G33,$I33&lt;&gt;0)),$D33,"")</f>
        <v>7</v>
      </c>
      <c r="E132" s="326">
        <f t="shared" si="17"/>
        <v>145333</v>
      </c>
      <c r="F132" s="338">
        <f t="shared" si="17"/>
        <v>0</v>
      </c>
      <c r="G132" s="326">
        <f t="shared" si="17"/>
        <v>144463</v>
      </c>
      <c r="H132" s="338">
        <f t="shared" si="17"/>
        <v>0</v>
      </c>
      <c r="I132" s="326">
        <f t="shared" si="17"/>
        <v>139083</v>
      </c>
      <c r="J132" s="328">
        <f t="shared" si="17"/>
        <v>0</v>
      </c>
      <c r="K132" s="336">
        <f t="shared" si="9"/>
        <v>0</v>
      </c>
      <c r="L132" s="325" t="str">
        <f t="shared" ref="L132:L138" si="22">IF(AND($N33=0,$P33=0,$R33=0),0,$L33)</f>
        <v>81 חינוך</v>
      </c>
      <c r="M132" s="338">
        <f t="shared" ref="M132:M138" si="23">IF(AND($M33&lt;&gt;"(***)",OR($N33&lt;&gt;0,$P33&lt;&gt;0,$R33&lt;&gt;0)),$M33,"")</f>
        <v>7</v>
      </c>
      <c r="N132" s="326">
        <f t="shared" si="18"/>
        <v>269332</v>
      </c>
      <c r="O132" s="338">
        <f t="shared" si="18"/>
        <v>0</v>
      </c>
      <c r="P132" s="326">
        <f t="shared" si="18"/>
        <v>259979</v>
      </c>
      <c r="Q132" s="338">
        <f t="shared" si="18"/>
        <v>0</v>
      </c>
      <c r="R132" s="326">
        <f t="shared" si="18"/>
        <v>246128</v>
      </c>
      <c r="S132" s="328">
        <f t="shared" si="18"/>
        <v>0</v>
      </c>
    </row>
    <row r="133" spans="1:19">
      <c r="A133" s="317">
        <f t="shared" si="1"/>
        <v>0</v>
      </c>
      <c r="B133" s="3381" t="str">
        <f t="shared" si="20"/>
        <v>32 תרבות</v>
      </c>
      <c r="C133" s="3381"/>
      <c r="D133" s="318" t="str">
        <f t="shared" si="21"/>
        <v/>
      </c>
      <c r="E133" s="326">
        <f t="shared" si="17"/>
        <v>3434</v>
      </c>
      <c r="F133" s="338">
        <f t="shared" si="17"/>
        <v>0</v>
      </c>
      <c r="G133" s="326">
        <f t="shared" si="17"/>
        <v>3178</v>
      </c>
      <c r="H133" s="338">
        <f t="shared" si="17"/>
        <v>0</v>
      </c>
      <c r="I133" s="326">
        <f t="shared" si="17"/>
        <v>2727</v>
      </c>
      <c r="J133" s="328">
        <f t="shared" si="17"/>
        <v>0</v>
      </c>
      <c r="K133" s="336">
        <f t="shared" si="9"/>
        <v>0</v>
      </c>
      <c r="L133" s="325" t="str">
        <f t="shared" si="22"/>
        <v>82 תרבות</v>
      </c>
      <c r="M133" s="338" t="str">
        <f t="shared" si="23"/>
        <v/>
      </c>
      <c r="N133" s="326">
        <f t="shared" si="18"/>
        <v>70277</v>
      </c>
      <c r="O133" s="338">
        <f t="shared" si="18"/>
        <v>0</v>
      </c>
      <c r="P133" s="326">
        <f t="shared" si="18"/>
        <v>67481</v>
      </c>
      <c r="Q133" s="338">
        <f t="shared" si="18"/>
        <v>0</v>
      </c>
      <c r="R133" s="326">
        <f t="shared" si="18"/>
        <v>64251</v>
      </c>
      <c r="S133" s="328">
        <f t="shared" si="18"/>
        <v>0</v>
      </c>
    </row>
    <row r="134" spans="1:19">
      <c r="A134" s="317">
        <f t="shared" si="1"/>
        <v>0</v>
      </c>
      <c r="B134" s="3381">
        <f t="shared" si="20"/>
        <v>0</v>
      </c>
      <c r="C134" s="3381"/>
      <c r="D134" s="318" t="str">
        <f t="shared" si="21"/>
        <v/>
      </c>
      <c r="E134" s="330">
        <f t="shared" si="17"/>
        <v>0</v>
      </c>
      <c r="F134" s="327">
        <f t="shared" si="17"/>
        <v>0</v>
      </c>
      <c r="G134" s="330">
        <f t="shared" si="17"/>
        <v>0</v>
      </c>
      <c r="H134" s="327">
        <f t="shared" si="17"/>
        <v>0</v>
      </c>
      <c r="I134" s="330">
        <f t="shared" si="17"/>
        <v>0</v>
      </c>
      <c r="J134" s="328">
        <f t="shared" si="17"/>
        <v>0</v>
      </c>
      <c r="K134" s="336">
        <f t="shared" si="9"/>
        <v>0</v>
      </c>
      <c r="L134" s="325" t="str">
        <f t="shared" si="22"/>
        <v>83 בריאות</v>
      </c>
      <c r="M134" s="338" t="str">
        <f t="shared" si="23"/>
        <v/>
      </c>
      <c r="N134" s="326">
        <f t="shared" si="18"/>
        <v>1995</v>
      </c>
      <c r="O134" s="338">
        <f t="shared" si="18"/>
        <v>0</v>
      </c>
      <c r="P134" s="326">
        <f t="shared" si="18"/>
        <v>1742</v>
      </c>
      <c r="Q134" s="338">
        <f t="shared" si="18"/>
        <v>0</v>
      </c>
      <c r="R134" s="330">
        <f t="shared" si="18"/>
        <v>1590</v>
      </c>
      <c r="S134" s="328">
        <f t="shared" si="18"/>
        <v>0</v>
      </c>
    </row>
    <row r="135" spans="1:19">
      <c r="A135" s="317">
        <f t="shared" si="1"/>
        <v>0</v>
      </c>
      <c r="B135" s="3381" t="str">
        <f t="shared" si="20"/>
        <v>34 רווחה</v>
      </c>
      <c r="C135" s="3381"/>
      <c r="D135" s="318">
        <f t="shared" si="21"/>
        <v>6</v>
      </c>
      <c r="E135" s="326">
        <f t="shared" si="17"/>
        <v>54654</v>
      </c>
      <c r="F135" s="338">
        <f t="shared" si="17"/>
        <v>0</v>
      </c>
      <c r="G135" s="326">
        <f t="shared" si="17"/>
        <v>52940</v>
      </c>
      <c r="H135" s="338">
        <f t="shared" si="17"/>
        <v>0</v>
      </c>
      <c r="I135" s="326">
        <f t="shared" si="17"/>
        <v>49943</v>
      </c>
      <c r="J135" s="328">
        <f t="shared" si="17"/>
        <v>0</v>
      </c>
      <c r="K135" s="336">
        <f t="shared" si="9"/>
        <v>0</v>
      </c>
      <c r="L135" s="325" t="str">
        <f t="shared" si="22"/>
        <v>84 רווחה</v>
      </c>
      <c r="M135" s="338">
        <f t="shared" si="23"/>
        <v>6</v>
      </c>
      <c r="N135" s="326">
        <f t="shared" si="18"/>
        <v>91463</v>
      </c>
      <c r="O135" s="338">
        <f t="shared" si="18"/>
        <v>0</v>
      </c>
      <c r="P135" s="326">
        <f t="shared" si="18"/>
        <v>87479</v>
      </c>
      <c r="Q135" s="338">
        <f t="shared" si="18"/>
        <v>0</v>
      </c>
      <c r="R135" s="326">
        <f t="shared" si="18"/>
        <v>81945</v>
      </c>
      <c r="S135" s="328">
        <f t="shared" si="18"/>
        <v>0</v>
      </c>
    </row>
    <row r="136" spans="1:19">
      <c r="A136" s="317">
        <f t="shared" si="1"/>
        <v>0</v>
      </c>
      <c r="B136" s="3381">
        <f t="shared" si="20"/>
        <v>0</v>
      </c>
      <c r="C136" s="3381"/>
      <c r="D136" s="318" t="str">
        <f t="shared" si="21"/>
        <v/>
      </c>
      <c r="E136" s="330">
        <f t="shared" si="17"/>
        <v>0</v>
      </c>
      <c r="F136" s="327">
        <f t="shared" si="17"/>
        <v>0</v>
      </c>
      <c r="G136" s="330">
        <f t="shared" si="17"/>
        <v>0</v>
      </c>
      <c r="H136" s="327">
        <f t="shared" si="17"/>
        <v>0</v>
      </c>
      <c r="I136" s="326">
        <f t="shared" si="17"/>
        <v>0</v>
      </c>
      <c r="J136" s="328">
        <f t="shared" si="17"/>
        <v>0</v>
      </c>
      <c r="K136" s="336">
        <f t="shared" si="9"/>
        <v>0</v>
      </c>
      <c r="L136" s="325" t="str">
        <f t="shared" si="22"/>
        <v>85 דת</v>
      </c>
      <c r="M136" s="338" t="str">
        <f t="shared" si="23"/>
        <v/>
      </c>
      <c r="N136" s="326">
        <f t="shared" si="18"/>
        <v>6445</v>
      </c>
      <c r="O136" s="338">
        <f t="shared" si="18"/>
        <v>0</v>
      </c>
      <c r="P136" s="326">
        <f t="shared" si="18"/>
        <v>6397</v>
      </c>
      <c r="Q136" s="338">
        <f t="shared" si="18"/>
        <v>0</v>
      </c>
      <c r="R136" s="326">
        <f t="shared" si="18"/>
        <v>6385</v>
      </c>
      <c r="S136" s="328">
        <f t="shared" si="18"/>
        <v>0</v>
      </c>
    </row>
    <row r="137" spans="1:19">
      <c r="A137" s="317">
        <f t="shared" ref="A137:A154" si="24">A38</f>
        <v>0</v>
      </c>
      <c r="B137" s="3381" t="str">
        <f t="shared" si="20"/>
        <v>36 קליטת עלייה</v>
      </c>
      <c r="C137" s="3381"/>
      <c r="D137" s="318" t="str">
        <f t="shared" si="21"/>
        <v/>
      </c>
      <c r="E137" s="326">
        <f t="shared" ref="E137:J146" si="25">E38</f>
        <v>125</v>
      </c>
      <c r="F137" s="338">
        <f t="shared" si="25"/>
        <v>0</v>
      </c>
      <c r="G137" s="326">
        <f t="shared" si="25"/>
        <v>127</v>
      </c>
      <c r="H137" s="338">
        <f t="shared" si="25"/>
        <v>0</v>
      </c>
      <c r="I137" s="326">
        <f t="shared" si="25"/>
        <v>142</v>
      </c>
      <c r="J137" s="328">
        <f t="shared" si="25"/>
        <v>0</v>
      </c>
      <c r="K137" s="336">
        <f t="shared" si="9"/>
        <v>0</v>
      </c>
      <c r="L137" s="325" t="str">
        <f t="shared" si="22"/>
        <v>86  קליטת עלייה</v>
      </c>
      <c r="M137" s="338" t="str">
        <f t="shared" si="23"/>
        <v/>
      </c>
      <c r="N137" s="326">
        <f t="shared" ref="N137:S146" si="26">N38</f>
        <v>424</v>
      </c>
      <c r="O137" s="338">
        <f t="shared" si="26"/>
        <v>0</v>
      </c>
      <c r="P137" s="326">
        <f t="shared" si="26"/>
        <v>360</v>
      </c>
      <c r="Q137" s="338">
        <f t="shared" si="26"/>
        <v>0</v>
      </c>
      <c r="R137" s="326">
        <f t="shared" si="26"/>
        <v>355</v>
      </c>
      <c r="S137" s="328">
        <f t="shared" si="26"/>
        <v>0</v>
      </c>
    </row>
    <row r="138" spans="1:19">
      <c r="A138" s="317">
        <f t="shared" si="24"/>
        <v>0</v>
      </c>
      <c r="B138" s="3381" t="str">
        <f t="shared" si="20"/>
        <v>37 איכות הסביבה</v>
      </c>
      <c r="C138" s="3381"/>
      <c r="D138" s="318" t="str">
        <f t="shared" si="21"/>
        <v/>
      </c>
      <c r="E138" s="330">
        <f t="shared" si="25"/>
        <v>169</v>
      </c>
      <c r="F138" s="338">
        <f t="shared" si="25"/>
        <v>0</v>
      </c>
      <c r="G138" s="330">
        <f t="shared" si="25"/>
        <v>36</v>
      </c>
      <c r="H138" s="338">
        <f t="shared" si="25"/>
        <v>0</v>
      </c>
      <c r="I138" s="326">
        <f t="shared" si="25"/>
        <v>188</v>
      </c>
      <c r="J138" s="328">
        <f t="shared" si="25"/>
        <v>0</v>
      </c>
      <c r="K138" s="336">
        <f t="shared" si="9"/>
        <v>0</v>
      </c>
      <c r="L138" s="325" t="str">
        <f t="shared" si="22"/>
        <v>87 איכות הסביבה</v>
      </c>
      <c r="M138" s="338" t="str">
        <f t="shared" si="23"/>
        <v/>
      </c>
      <c r="N138" s="326">
        <f t="shared" si="26"/>
        <v>2193</v>
      </c>
      <c r="O138" s="338">
        <f t="shared" si="26"/>
        <v>0</v>
      </c>
      <c r="P138" s="326">
        <f t="shared" si="26"/>
        <v>1803</v>
      </c>
      <c r="Q138" s="338">
        <f t="shared" si="26"/>
        <v>0</v>
      </c>
      <c r="R138" s="326">
        <f t="shared" si="26"/>
        <v>1709</v>
      </c>
      <c r="S138" s="328">
        <f t="shared" si="26"/>
        <v>0</v>
      </c>
    </row>
    <row r="139" spans="1:19">
      <c r="A139" s="317">
        <f t="shared" si="24"/>
        <v>0</v>
      </c>
      <c r="B139" s="3381">
        <f>B40</f>
        <v>0</v>
      </c>
      <c r="C139" s="3381"/>
      <c r="D139" s="318">
        <f>D40</f>
        <v>0</v>
      </c>
      <c r="E139" s="337">
        <f t="shared" si="25"/>
        <v>203715</v>
      </c>
      <c r="F139" s="338">
        <f t="shared" si="25"/>
        <v>0</v>
      </c>
      <c r="G139" s="337">
        <f t="shared" si="25"/>
        <v>200744</v>
      </c>
      <c r="H139" s="338">
        <f t="shared" si="25"/>
        <v>0</v>
      </c>
      <c r="I139" s="337">
        <f t="shared" si="25"/>
        <v>192083</v>
      </c>
      <c r="J139" s="328">
        <f t="shared" si="25"/>
        <v>0</v>
      </c>
      <c r="K139" s="336">
        <f t="shared" si="9"/>
        <v>0</v>
      </c>
      <c r="L139" s="325">
        <f t="shared" ref="L139:M141" si="27">L40</f>
        <v>0</v>
      </c>
      <c r="M139" s="338">
        <f t="shared" si="27"/>
        <v>0</v>
      </c>
      <c r="N139" s="337">
        <f t="shared" si="26"/>
        <v>442129</v>
      </c>
      <c r="O139" s="338">
        <f t="shared" si="26"/>
        <v>0</v>
      </c>
      <c r="P139" s="337">
        <f t="shared" si="26"/>
        <v>425241</v>
      </c>
      <c r="Q139" s="338">
        <f t="shared" si="26"/>
        <v>0</v>
      </c>
      <c r="R139" s="337">
        <f t="shared" si="26"/>
        <v>402363</v>
      </c>
      <c r="S139" s="328">
        <f t="shared" si="26"/>
        <v>0</v>
      </c>
    </row>
    <row r="140" spans="1:19">
      <c r="A140" s="317">
        <f t="shared" si="24"/>
        <v>0</v>
      </c>
      <c r="B140" s="3381">
        <f>B41</f>
        <v>0</v>
      </c>
      <c r="C140" s="3381"/>
      <c r="D140" s="318">
        <f>D41</f>
        <v>0</v>
      </c>
      <c r="E140" s="338">
        <f t="shared" si="25"/>
        <v>0</v>
      </c>
      <c r="F140" s="338">
        <f t="shared" si="25"/>
        <v>0</v>
      </c>
      <c r="G140" s="338">
        <f t="shared" si="25"/>
        <v>0</v>
      </c>
      <c r="H140" s="338">
        <f t="shared" si="25"/>
        <v>0</v>
      </c>
      <c r="I140" s="338">
        <f t="shared" si="25"/>
        <v>0</v>
      </c>
      <c r="J140" s="328">
        <f t="shared" si="25"/>
        <v>0</v>
      </c>
      <c r="K140" s="336">
        <f t="shared" si="9"/>
        <v>0</v>
      </c>
      <c r="L140" s="335">
        <f t="shared" si="27"/>
        <v>0</v>
      </c>
      <c r="M140" s="327">
        <f t="shared" si="27"/>
        <v>0</v>
      </c>
      <c r="N140" s="338">
        <f t="shared" si="26"/>
        <v>0</v>
      </c>
      <c r="O140" s="327">
        <f t="shared" si="26"/>
        <v>0</v>
      </c>
      <c r="P140" s="338">
        <f t="shared" si="26"/>
        <v>0</v>
      </c>
      <c r="Q140" s="327">
        <f t="shared" si="26"/>
        <v>0</v>
      </c>
      <c r="R140" s="338">
        <f t="shared" si="26"/>
        <v>0</v>
      </c>
      <c r="S140" s="328">
        <f t="shared" si="26"/>
        <v>0</v>
      </c>
    </row>
    <row r="141" spans="1:19">
      <c r="A141" s="317" t="str">
        <f>IF(AND($E$150=0,$G$150=0,$I$150=0),"",A42)</f>
        <v>4.</v>
      </c>
      <c r="B141" s="3382" t="str">
        <f>IF(AND($E$150=0,$G$150=0,$I$150=0),"",B42)</f>
        <v>מפעלים</v>
      </c>
      <c r="C141" s="3382"/>
      <c r="D141" s="318">
        <f>D42</f>
        <v>0</v>
      </c>
      <c r="E141" s="338">
        <f t="shared" si="25"/>
        <v>0</v>
      </c>
      <c r="F141" s="338">
        <f t="shared" si="25"/>
        <v>0</v>
      </c>
      <c r="G141" s="338">
        <f t="shared" si="25"/>
        <v>0</v>
      </c>
      <c r="H141" s="338">
        <f t="shared" si="25"/>
        <v>0</v>
      </c>
      <c r="I141" s="338">
        <f t="shared" si="25"/>
        <v>0</v>
      </c>
      <c r="J141" s="328">
        <f t="shared" si="25"/>
        <v>0</v>
      </c>
      <c r="K141" s="336" t="str">
        <f>IF(AND($N$150=0,$P$150=0,$R$150=0),"",K42)</f>
        <v>9</v>
      </c>
      <c r="L141" s="321" t="str">
        <f>IF(AND($N$150=0,$P$150=0,$R$150=0),"",L42)</f>
        <v>מפעלים</v>
      </c>
      <c r="M141" s="327">
        <f t="shared" si="27"/>
        <v>0</v>
      </c>
      <c r="N141" s="327">
        <f t="shared" si="26"/>
        <v>0</v>
      </c>
      <c r="O141" s="327">
        <f t="shared" si="26"/>
        <v>0</v>
      </c>
      <c r="P141" s="327">
        <f t="shared" si="26"/>
        <v>0</v>
      </c>
      <c r="Q141" s="327">
        <f t="shared" si="26"/>
        <v>0</v>
      </c>
      <c r="R141" s="338">
        <f t="shared" si="26"/>
        <v>0</v>
      </c>
      <c r="S141" s="328">
        <f t="shared" si="26"/>
        <v>0</v>
      </c>
    </row>
    <row r="142" spans="1:19">
      <c r="A142" s="340">
        <f t="shared" si="24"/>
        <v>0</v>
      </c>
      <c r="B142" s="3381" t="str">
        <f t="shared" ref="B142:B149" si="28">IF(AND($E43=0,$G43=0,$I43=0),0,$B43)</f>
        <v>41 מים</v>
      </c>
      <c r="C142" s="3381"/>
      <c r="D142" s="318">
        <f t="shared" ref="D142:D149" si="29">IF(AND($D43&lt;&gt;"(***)",OR($E43&lt;&gt;0,$G43,$I43&lt;&gt;0)),$D43,"")</f>
        <v>8</v>
      </c>
      <c r="E142" s="326">
        <f t="shared" si="25"/>
        <v>2610</v>
      </c>
      <c r="F142" s="338">
        <f t="shared" si="25"/>
        <v>0</v>
      </c>
      <c r="G142" s="326">
        <f t="shared" si="25"/>
        <v>2879</v>
      </c>
      <c r="H142" s="338">
        <f t="shared" si="25"/>
        <v>0</v>
      </c>
      <c r="I142" s="326">
        <f t="shared" si="25"/>
        <v>2858</v>
      </c>
      <c r="J142" s="328">
        <f t="shared" si="25"/>
        <v>0</v>
      </c>
      <c r="K142" s="336">
        <f t="shared" si="9"/>
        <v>0</v>
      </c>
      <c r="L142" s="325" t="str">
        <f t="shared" ref="L142:L149" si="30">IF(AND($N43=0,$P43=0,$R43=0),0,$L43)</f>
        <v>91 מים</v>
      </c>
      <c r="M142" s="338">
        <f t="shared" ref="M142:M149" si="31">IF(AND($M43&lt;&gt;"(***)",OR($N43&lt;&gt;0,$P43&lt;&gt;0,$R43&lt;&gt;0)),$M43,"")</f>
        <v>8</v>
      </c>
      <c r="N142" s="326">
        <f t="shared" si="26"/>
        <v>2750</v>
      </c>
      <c r="O142" s="338">
        <f t="shared" si="26"/>
        <v>0</v>
      </c>
      <c r="P142" s="326">
        <f t="shared" si="26"/>
        <v>2502</v>
      </c>
      <c r="Q142" s="338">
        <f t="shared" si="26"/>
        <v>0</v>
      </c>
      <c r="R142" s="326">
        <f t="shared" si="26"/>
        <v>2511</v>
      </c>
      <c r="S142" s="328">
        <f t="shared" si="26"/>
        <v>0</v>
      </c>
    </row>
    <row r="143" spans="1:19">
      <c r="A143" s="317">
        <f t="shared" si="24"/>
        <v>0</v>
      </c>
      <c r="B143" s="3381">
        <f t="shared" si="28"/>
        <v>0</v>
      </c>
      <c r="C143" s="3381"/>
      <c r="D143" s="318" t="str">
        <f t="shared" si="29"/>
        <v/>
      </c>
      <c r="E143" s="330">
        <f t="shared" si="25"/>
        <v>0</v>
      </c>
      <c r="F143" s="338">
        <f t="shared" si="25"/>
        <v>0</v>
      </c>
      <c r="G143" s="326">
        <f t="shared" si="25"/>
        <v>0</v>
      </c>
      <c r="H143" s="338">
        <f t="shared" si="25"/>
        <v>0</v>
      </c>
      <c r="I143" s="326">
        <f t="shared" si="25"/>
        <v>0</v>
      </c>
      <c r="J143" s="328">
        <f t="shared" si="25"/>
        <v>0</v>
      </c>
      <c r="K143" s="336">
        <f t="shared" si="9"/>
        <v>0</v>
      </c>
      <c r="L143" s="325">
        <f t="shared" si="30"/>
        <v>0</v>
      </c>
      <c r="M143" s="338" t="str">
        <f t="shared" si="31"/>
        <v/>
      </c>
      <c r="N143" s="326">
        <f t="shared" si="26"/>
        <v>0</v>
      </c>
      <c r="O143" s="338">
        <f t="shared" si="26"/>
        <v>0</v>
      </c>
      <c r="P143" s="326">
        <f t="shared" si="26"/>
        <v>0</v>
      </c>
      <c r="Q143" s="338">
        <f t="shared" si="26"/>
        <v>0</v>
      </c>
      <c r="R143" s="326">
        <f t="shared" si="26"/>
        <v>0</v>
      </c>
      <c r="S143" s="328">
        <f t="shared" si="26"/>
        <v>0</v>
      </c>
    </row>
    <row r="144" spans="1:19">
      <c r="A144" s="317">
        <f t="shared" si="24"/>
        <v>0</v>
      </c>
      <c r="B144" s="3381" t="str">
        <f t="shared" si="28"/>
        <v>43 נכסים</v>
      </c>
      <c r="C144" s="3381"/>
      <c r="D144" s="318" t="str">
        <f t="shared" si="29"/>
        <v/>
      </c>
      <c r="E144" s="326">
        <f t="shared" si="25"/>
        <v>7590</v>
      </c>
      <c r="F144" s="338">
        <f t="shared" si="25"/>
        <v>0</v>
      </c>
      <c r="G144" s="326">
        <f t="shared" si="25"/>
        <v>8665</v>
      </c>
      <c r="H144" s="338">
        <f t="shared" si="25"/>
        <v>0</v>
      </c>
      <c r="I144" s="326">
        <f t="shared" si="25"/>
        <v>7495</v>
      </c>
      <c r="J144" s="328">
        <f t="shared" si="25"/>
        <v>0</v>
      </c>
      <c r="K144" s="329">
        <f t="shared" si="9"/>
        <v>0</v>
      </c>
      <c r="L144" s="325" t="str">
        <f t="shared" si="30"/>
        <v>93 נכסים</v>
      </c>
      <c r="M144" s="338" t="str">
        <f t="shared" si="31"/>
        <v/>
      </c>
      <c r="N144" s="326">
        <f t="shared" si="26"/>
        <v>17944</v>
      </c>
      <c r="O144" s="338">
        <f t="shared" si="26"/>
        <v>0</v>
      </c>
      <c r="P144" s="326">
        <f t="shared" si="26"/>
        <v>17249</v>
      </c>
      <c r="Q144" s="338">
        <f t="shared" si="26"/>
        <v>0</v>
      </c>
      <c r="R144" s="326">
        <f t="shared" si="26"/>
        <v>17253</v>
      </c>
      <c r="S144" s="328">
        <f t="shared" si="26"/>
        <v>0</v>
      </c>
    </row>
    <row r="145" spans="1:19">
      <c r="A145" s="317">
        <f t="shared" si="24"/>
        <v>0</v>
      </c>
      <c r="B145" s="3381" t="str">
        <f t="shared" si="28"/>
        <v>44 תחבורה</v>
      </c>
      <c r="C145" s="3381"/>
      <c r="D145" s="318" t="str">
        <f t="shared" si="29"/>
        <v/>
      </c>
      <c r="E145" s="330">
        <f t="shared" si="25"/>
        <v>24775</v>
      </c>
      <c r="F145" s="338">
        <f t="shared" si="25"/>
        <v>0</v>
      </c>
      <c r="G145" s="330">
        <f t="shared" si="25"/>
        <v>30511</v>
      </c>
      <c r="H145" s="338">
        <f t="shared" si="25"/>
        <v>0</v>
      </c>
      <c r="I145" s="330">
        <f t="shared" si="25"/>
        <v>23349</v>
      </c>
      <c r="J145" s="328">
        <f t="shared" si="25"/>
        <v>0</v>
      </c>
      <c r="K145" s="329">
        <f t="shared" si="9"/>
        <v>0</v>
      </c>
      <c r="L145" s="325" t="str">
        <f t="shared" si="30"/>
        <v>94 תחבורה</v>
      </c>
      <c r="M145" s="338" t="str">
        <f t="shared" si="31"/>
        <v/>
      </c>
      <c r="N145" s="326">
        <f t="shared" si="26"/>
        <v>3951</v>
      </c>
      <c r="O145" s="338">
        <f t="shared" si="26"/>
        <v>0</v>
      </c>
      <c r="P145" s="326">
        <f t="shared" si="26"/>
        <v>3543</v>
      </c>
      <c r="Q145" s="338">
        <f t="shared" si="26"/>
        <v>0</v>
      </c>
      <c r="R145" s="330">
        <f t="shared" si="26"/>
        <v>3157</v>
      </c>
      <c r="S145" s="328">
        <f t="shared" si="26"/>
        <v>0</v>
      </c>
    </row>
    <row r="146" spans="1:19">
      <c r="A146" s="317">
        <f t="shared" si="24"/>
        <v>0</v>
      </c>
      <c r="B146" s="3381">
        <f t="shared" si="28"/>
        <v>0</v>
      </c>
      <c r="C146" s="3381"/>
      <c r="D146" s="318" t="str">
        <f t="shared" si="29"/>
        <v/>
      </c>
      <c r="E146" s="330">
        <f t="shared" si="25"/>
        <v>0</v>
      </c>
      <c r="F146" s="338">
        <f t="shared" si="25"/>
        <v>0</v>
      </c>
      <c r="G146" s="330">
        <f t="shared" si="25"/>
        <v>0</v>
      </c>
      <c r="H146" s="338">
        <f t="shared" si="25"/>
        <v>0</v>
      </c>
      <c r="I146" s="330">
        <f t="shared" si="25"/>
        <v>0</v>
      </c>
      <c r="J146" s="328">
        <f t="shared" si="25"/>
        <v>0</v>
      </c>
      <c r="K146" s="329">
        <f t="shared" si="9"/>
        <v>0</v>
      </c>
      <c r="L146" s="325">
        <f t="shared" si="30"/>
        <v>0</v>
      </c>
      <c r="M146" s="338" t="str">
        <f t="shared" si="31"/>
        <v/>
      </c>
      <c r="N146" s="326">
        <f t="shared" si="26"/>
        <v>0</v>
      </c>
      <c r="O146" s="338">
        <f t="shared" si="26"/>
        <v>0</v>
      </c>
      <c r="P146" s="326">
        <f t="shared" si="26"/>
        <v>0</v>
      </c>
      <c r="Q146" s="338">
        <f t="shared" si="26"/>
        <v>0</v>
      </c>
      <c r="R146" s="330">
        <f t="shared" si="26"/>
        <v>0</v>
      </c>
      <c r="S146" s="328">
        <f t="shared" si="26"/>
        <v>0</v>
      </c>
    </row>
    <row r="147" spans="1:19">
      <c r="A147" s="317">
        <f t="shared" si="24"/>
        <v>0</v>
      </c>
      <c r="B147" s="3381">
        <f t="shared" si="28"/>
        <v>0</v>
      </c>
      <c r="C147" s="3381"/>
      <c r="D147" s="318" t="str">
        <f t="shared" si="29"/>
        <v/>
      </c>
      <c r="E147" s="330">
        <f t="shared" ref="E147:J154" si="32">E48</f>
        <v>0</v>
      </c>
      <c r="F147" s="338">
        <f t="shared" si="32"/>
        <v>0</v>
      </c>
      <c r="G147" s="330">
        <f t="shared" si="32"/>
        <v>0</v>
      </c>
      <c r="H147" s="338">
        <f t="shared" si="32"/>
        <v>0</v>
      </c>
      <c r="I147" s="330">
        <f t="shared" si="32"/>
        <v>0</v>
      </c>
      <c r="J147" s="328">
        <f t="shared" si="32"/>
        <v>0</v>
      </c>
      <c r="K147" s="329">
        <f t="shared" si="9"/>
        <v>0</v>
      </c>
      <c r="L147" s="325">
        <f t="shared" si="30"/>
        <v>0</v>
      </c>
      <c r="M147" s="338" t="str">
        <f t="shared" si="31"/>
        <v/>
      </c>
      <c r="N147" s="326">
        <f t="shared" ref="N147:S154" si="33">N48</f>
        <v>0</v>
      </c>
      <c r="O147" s="338">
        <f t="shared" si="33"/>
        <v>0</v>
      </c>
      <c r="P147" s="326">
        <f t="shared" si="33"/>
        <v>0</v>
      </c>
      <c r="Q147" s="338">
        <f t="shared" si="33"/>
        <v>0</v>
      </c>
      <c r="R147" s="330">
        <f t="shared" si="33"/>
        <v>0</v>
      </c>
      <c r="S147" s="328">
        <f t="shared" si="33"/>
        <v>0</v>
      </c>
    </row>
    <row r="148" spans="1:19" ht="26.25" customHeight="1">
      <c r="A148" s="317">
        <f t="shared" si="24"/>
        <v>0</v>
      </c>
      <c r="B148" s="3381" t="str">
        <f t="shared" si="28"/>
        <v>47 מפעל הביוב</v>
      </c>
      <c r="C148" s="3381"/>
      <c r="D148" s="318">
        <f t="shared" si="29"/>
        <v>8</v>
      </c>
      <c r="E148" s="330">
        <f t="shared" si="32"/>
        <v>11610</v>
      </c>
      <c r="F148" s="338">
        <f t="shared" si="32"/>
        <v>0</v>
      </c>
      <c r="G148" s="330">
        <f t="shared" si="32"/>
        <v>10067</v>
      </c>
      <c r="H148" s="338">
        <f t="shared" si="32"/>
        <v>0</v>
      </c>
      <c r="I148" s="330">
        <f t="shared" si="32"/>
        <v>11533</v>
      </c>
      <c r="J148" s="328">
        <f t="shared" si="32"/>
        <v>0</v>
      </c>
      <c r="K148" s="329">
        <f t="shared" si="9"/>
        <v>0</v>
      </c>
      <c r="L148" s="325" t="str">
        <f t="shared" si="30"/>
        <v>97 מפעל הביוב (כולל פרעון מלוות)</v>
      </c>
      <c r="M148" s="338">
        <f t="shared" si="31"/>
        <v>8</v>
      </c>
      <c r="N148" s="326">
        <f t="shared" si="33"/>
        <v>11610</v>
      </c>
      <c r="O148" s="338">
        <f t="shared" si="33"/>
        <v>0</v>
      </c>
      <c r="P148" s="326">
        <f t="shared" si="33"/>
        <v>11117</v>
      </c>
      <c r="Q148" s="338">
        <f t="shared" si="33"/>
        <v>0</v>
      </c>
      <c r="R148" s="330">
        <f t="shared" si="33"/>
        <v>11484</v>
      </c>
      <c r="S148" s="328">
        <f t="shared" si="33"/>
        <v>0</v>
      </c>
    </row>
    <row r="149" spans="1:19">
      <c r="A149" s="317">
        <f t="shared" si="24"/>
        <v>0</v>
      </c>
      <c r="B149" s="3381">
        <f t="shared" si="28"/>
        <v>0</v>
      </c>
      <c r="C149" s="3381"/>
      <c r="D149" s="318" t="str">
        <f t="shared" si="29"/>
        <v/>
      </c>
      <c r="E149" s="330">
        <f t="shared" si="32"/>
        <v>0</v>
      </c>
      <c r="F149" s="338">
        <f t="shared" si="32"/>
        <v>0</v>
      </c>
      <c r="G149" s="330">
        <f t="shared" si="32"/>
        <v>0</v>
      </c>
      <c r="H149" s="338">
        <f t="shared" si="32"/>
        <v>0</v>
      </c>
      <c r="I149" s="330">
        <f t="shared" si="32"/>
        <v>0</v>
      </c>
      <c r="J149" s="328">
        <f t="shared" si="32"/>
        <v>0</v>
      </c>
      <c r="K149" s="329">
        <f t="shared" si="9"/>
        <v>0</v>
      </c>
      <c r="L149" s="325">
        <f t="shared" si="30"/>
        <v>0</v>
      </c>
      <c r="M149" s="338" t="str">
        <f t="shared" si="31"/>
        <v/>
      </c>
      <c r="N149" s="326">
        <f t="shared" si="33"/>
        <v>0</v>
      </c>
      <c r="O149" s="338">
        <f t="shared" si="33"/>
        <v>0</v>
      </c>
      <c r="P149" s="326">
        <f t="shared" si="33"/>
        <v>0</v>
      </c>
      <c r="Q149" s="338">
        <f t="shared" si="33"/>
        <v>0</v>
      </c>
      <c r="R149" s="330">
        <f t="shared" si="33"/>
        <v>0</v>
      </c>
      <c r="S149" s="328">
        <f t="shared" si="33"/>
        <v>0</v>
      </c>
    </row>
    <row r="150" spans="1:19">
      <c r="A150" s="317">
        <f t="shared" si="24"/>
        <v>0</v>
      </c>
      <c r="B150" s="3381">
        <f>B51</f>
        <v>0</v>
      </c>
      <c r="C150" s="3381"/>
      <c r="D150" s="318">
        <f>D51</f>
        <v>0</v>
      </c>
      <c r="E150" s="337">
        <f t="shared" si="32"/>
        <v>46585</v>
      </c>
      <c r="F150" s="338">
        <f t="shared" si="32"/>
        <v>0</v>
      </c>
      <c r="G150" s="337">
        <f t="shared" si="32"/>
        <v>52122</v>
      </c>
      <c r="H150" s="338">
        <f t="shared" si="32"/>
        <v>0</v>
      </c>
      <c r="I150" s="337">
        <f t="shared" si="32"/>
        <v>45235</v>
      </c>
      <c r="J150" s="328">
        <f t="shared" si="32"/>
        <v>0</v>
      </c>
      <c r="K150" s="336">
        <f t="shared" si="9"/>
        <v>0</v>
      </c>
      <c r="L150" s="325">
        <f>L51</f>
        <v>0</v>
      </c>
      <c r="M150" s="338">
        <f>M51</f>
        <v>0</v>
      </c>
      <c r="N150" s="337">
        <f t="shared" si="33"/>
        <v>36255</v>
      </c>
      <c r="O150" s="338">
        <f t="shared" si="33"/>
        <v>0</v>
      </c>
      <c r="P150" s="337">
        <f t="shared" si="33"/>
        <v>34411</v>
      </c>
      <c r="Q150" s="338">
        <f t="shared" si="33"/>
        <v>0</v>
      </c>
      <c r="R150" s="337">
        <f t="shared" si="33"/>
        <v>34405</v>
      </c>
      <c r="S150" s="328">
        <f t="shared" si="33"/>
        <v>0</v>
      </c>
    </row>
    <row r="151" spans="1:19">
      <c r="A151" s="317">
        <f t="shared" si="24"/>
        <v>0</v>
      </c>
      <c r="B151" s="3381">
        <f>B52</f>
        <v>0</v>
      </c>
      <c r="C151" s="3381"/>
      <c r="D151" s="318">
        <f>D52</f>
        <v>0</v>
      </c>
      <c r="E151" s="338">
        <f t="shared" si="32"/>
        <v>0</v>
      </c>
      <c r="F151" s="322">
        <f t="shared" si="32"/>
        <v>0</v>
      </c>
      <c r="G151" s="338">
        <f t="shared" si="32"/>
        <v>0</v>
      </c>
      <c r="H151" s="322">
        <f t="shared" si="32"/>
        <v>0</v>
      </c>
      <c r="I151" s="338">
        <f t="shared" si="32"/>
        <v>0</v>
      </c>
      <c r="J151" s="328">
        <f t="shared" si="32"/>
        <v>0</v>
      </c>
      <c r="K151" s="323">
        <f t="shared" si="9"/>
        <v>0</v>
      </c>
      <c r="L151" s="325">
        <f>L52</f>
        <v>0</v>
      </c>
      <c r="M151" s="322">
        <f>M52</f>
        <v>0</v>
      </c>
      <c r="N151" s="166">
        <f t="shared" si="33"/>
        <v>0</v>
      </c>
      <c r="O151" s="166">
        <f t="shared" si="33"/>
        <v>0</v>
      </c>
      <c r="P151" s="166">
        <f t="shared" si="33"/>
        <v>0</v>
      </c>
      <c r="Q151" s="166">
        <f t="shared" si="33"/>
        <v>0</v>
      </c>
      <c r="R151" s="338">
        <f t="shared" si="33"/>
        <v>0</v>
      </c>
      <c r="S151" s="328">
        <f t="shared" si="33"/>
        <v>0</v>
      </c>
    </row>
    <row r="152" spans="1:19" ht="16.5" customHeight="1">
      <c r="A152" s="340" t="str">
        <f>IF(AND($E$152=0,$G$152=0,$I$152=0),"",A53)</f>
        <v>5.</v>
      </c>
      <c r="B152" s="3384" t="str">
        <f>IF(AND($E$152=0,$G$152=0,$I$152=0),"",B53)</f>
        <v>תקבולים בלתי רגילים</v>
      </c>
      <c r="C152" s="3384"/>
      <c r="D152" s="322">
        <f>IF(AND($E53=0,$G53=0,$I53=0)," ",$D53)</f>
        <v>4</v>
      </c>
      <c r="E152" s="341">
        <f t="shared" si="32"/>
        <v>38524</v>
      </c>
      <c r="F152" s="338">
        <f t="shared" si="32"/>
        <v>0</v>
      </c>
      <c r="G152" s="341">
        <f t="shared" si="32"/>
        <v>33153</v>
      </c>
      <c r="H152" s="338">
        <f t="shared" si="32"/>
        <v>0</v>
      </c>
      <c r="I152" s="341">
        <f t="shared" si="32"/>
        <v>33412</v>
      </c>
      <c r="J152" s="328">
        <f t="shared" si="32"/>
        <v>0</v>
      </c>
      <c r="K152" s="166" t="str">
        <f>IF(AND($N53=0,$P53=0,$R53=0),0,$K53)</f>
        <v>99</v>
      </c>
      <c r="L152" s="342" t="str">
        <f>IF(AND($N53=0,$P53=0,$R53=0),0,$L53)</f>
        <v>תשלומים בלתי רגילים</v>
      </c>
      <c r="M152" s="322">
        <f>IF(AND($N53=0,$P53=0,$R53=0)," ",$M53)</f>
        <v>4</v>
      </c>
      <c r="N152" s="341">
        <f t="shared" si="33"/>
        <v>96869</v>
      </c>
      <c r="O152" s="322">
        <f t="shared" si="33"/>
        <v>0</v>
      </c>
      <c r="P152" s="341">
        <f t="shared" si="33"/>
        <v>131404</v>
      </c>
      <c r="Q152" s="338">
        <f t="shared" si="33"/>
        <v>0</v>
      </c>
      <c r="R152" s="341">
        <f t="shared" si="33"/>
        <v>104510</v>
      </c>
      <c r="S152" s="328">
        <f t="shared" si="33"/>
        <v>0</v>
      </c>
    </row>
    <row r="153" spans="1:19">
      <c r="A153" s="340">
        <f t="shared" si="24"/>
        <v>0</v>
      </c>
      <c r="B153" s="3386">
        <f>B54</f>
        <v>0</v>
      </c>
      <c r="C153" s="3386"/>
      <c r="D153" s="166">
        <f>D54</f>
        <v>0</v>
      </c>
      <c r="E153" s="166">
        <f t="shared" si="32"/>
        <v>0</v>
      </c>
      <c r="F153" s="166">
        <f t="shared" si="32"/>
        <v>0</v>
      </c>
      <c r="G153" s="166">
        <f t="shared" si="32"/>
        <v>0</v>
      </c>
      <c r="H153" s="166">
        <f t="shared" si="32"/>
        <v>0</v>
      </c>
      <c r="I153" s="166">
        <f t="shared" si="32"/>
        <v>0</v>
      </c>
      <c r="J153" s="328">
        <f t="shared" si="32"/>
        <v>0</v>
      </c>
      <c r="K153" s="323">
        <f t="shared" si="9"/>
        <v>0</v>
      </c>
      <c r="L153" s="335">
        <f>L54</f>
        <v>0</v>
      </c>
      <c r="M153" s="166">
        <f>M54</f>
        <v>0</v>
      </c>
      <c r="N153" s="338">
        <f t="shared" si="33"/>
        <v>0</v>
      </c>
      <c r="O153" s="322">
        <f t="shared" si="33"/>
        <v>0</v>
      </c>
      <c r="P153" s="338">
        <f t="shared" si="33"/>
        <v>0</v>
      </c>
      <c r="Q153" s="338">
        <f t="shared" si="33"/>
        <v>0</v>
      </c>
      <c r="R153" s="166">
        <f t="shared" si="33"/>
        <v>0</v>
      </c>
      <c r="S153" s="328">
        <f t="shared" si="33"/>
        <v>0</v>
      </c>
    </row>
    <row r="154" spans="1:19" ht="13.8" thickBot="1">
      <c r="A154" s="317">
        <f t="shared" si="24"/>
        <v>0</v>
      </c>
      <c r="B154" s="3387" t="str">
        <f>IF(AND($E55=0,$G55=0,$I55=0),0,$B55)</f>
        <v>סה"כ כללי</v>
      </c>
      <c r="C154" s="3387"/>
      <c r="D154" s="322">
        <f>D55</f>
        <v>0</v>
      </c>
      <c r="E154" s="343">
        <f t="shared" si="32"/>
        <v>836225</v>
      </c>
      <c r="F154" s="322">
        <f t="shared" si="32"/>
        <v>0</v>
      </c>
      <c r="G154" s="343">
        <f t="shared" si="32"/>
        <v>853785</v>
      </c>
      <c r="H154" s="338">
        <f t="shared" si="32"/>
        <v>0</v>
      </c>
      <c r="I154" s="343">
        <f t="shared" si="32"/>
        <v>795695</v>
      </c>
      <c r="J154" s="328">
        <f t="shared" si="32"/>
        <v>0</v>
      </c>
      <c r="K154" s="323">
        <f t="shared" si="9"/>
        <v>0</v>
      </c>
      <c r="L154" s="342" t="str">
        <f>IF(AND($N55=0,$P55=0,$R55=0),0,$L55)</f>
        <v>סה"כ כללי</v>
      </c>
      <c r="M154" s="166">
        <f>M55</f>
        <v>0</v>
      </c>
      <c r="N154" s="343">
        <f t="shared" si="33"/>
        <v>836225</v>
      </c>
      <c r="O154" s="338">
        <f t="shared" si="33"/>
        <v>0</v>
      </c>
      <c r="P154" s="343">
        <f t="shared" si="33"/>
        <v>836268</v>
      </c>
      <c r="Q154" s="338">
        <f t="shared" si="33"/>
        <v>0</v>
      </c>
      <c r="R154" s="343">
        <f t="shared" si="33"/>
        <v>785053</v>
      </c>
      <c r="S154" s="328">
        <f t="shared" si="33"/>
        <v>0</v>
      </c>
    </row>
    <row r="155" spans="1:19" ht="13.8" thickTop="1">
      <c r="A155" s="317"/>
      <c r="B155" s="3381">
        <f>IF(B56&lt;&gt;"(***)",B56,0)</f>
        <v>0</v>
      </c>
      <c r="C155" s="3381"/>
      <c r="D155" s="322"/>
      <c r="E155" s="330">
        <f>$E$56</f>
        <v>0</v>
      </c>
      <c r="F155" s="322"/>
      <c r="G155" s="330">
        <f>$G$56</f>
        <v>0</v>
      </c>
      <c r="H155" s="338"/>
      <c r="I155" s="330">
        <f>$I$56</f>
        <v>0</v>
      </c>
      <c r="J155" s="328"/>
      <c r="K155" s="323"/>
      <c r="L155" s="325">
        <f>IF(L56&lt;&gt;"(***)",L56,0)</f>
        <v>0</v>
      </c>
      <c r="M155" s="166"/>
      <c r="N155" s="330">
        <f>$N$56</f>
        <v>0</v>
      </c>
      <c r="O155" s="338"/>
      <c r="P155" s="330">
        <f>$P$56</f>
        <v>0</v>
      </c>
      <c r="Q155" s="338"/>
      <c r="R155" s="330">
        <f>$R$56</f>
        <v>0</v>
      </c>
      <c r="S155" s="328"/>
    </row>
    <row r="156" spans="1:19">
      <c r="A156" s="344">
        <f>A56</f>
        <v>0</v>
      </c>
      <c r="B156" s="3388">
        <f>IF(B57&lt;&gt;"(***)",B57,0)</f>
        <v>0</v>
      </c>
      <c r="C156" s="3388"/>
      <c r="D156" s="345">
        <f>D56</f>
        <v>0</v>
      </c>
      <c r="E156" s="333"/>
      <c r="F156" s="345">
        <f>F56</f>
        <v>0</v>
      </c>
      <c r="G156" s="333"/>
      <c r="H156" s="345">
        <f>H56</f>
        <v>0</v>
      </c>
      <c r="I156" s="333"/>
      <c r="J156" s="316">
        <f>J56</f>
        <v>0</v>
      </c>
      <c r="K156" s="346">
        <f>K56</f>
        <v>0</v>
      </c>
      <c r="L156" s="347"/>
      <c r="M156" s="348">
        <f>M56</f>
        <v>0</v>
      </c>
      <c r="N156" s="333"/>
      <c r="O156" s="345">
        <f>O56</f>
        <v>0</v>
      </c>
      <c r="P156" s="333"/>
      <c r="Q156" s="345">
        <f>Q56</f>
        <v>0</v>
      </c>
      <c r="R156" s="333"/>
      <c r="S156" s="316">
        <f>S56</f>
        <v>0</v>
      </c>
    </row>
    <row r="157" spans="1:19">
      <c r="A157" s="349"/>
      <c r="B157" s="3385"/>
      <c r="C157" s="3385"/>
      <c r="D157" s="166"/>
      <c r="E157" s="166"/>
      <c r="F157" s="166"/>
      <c r="G157" s="166"/>
      <c r="H157" s="166"/>
      <c r="I157" s="166"/>
      <c r="J157" s="350"/>
      <c r="K157" s="323"/>
      <c r="L157" s="350"/>
      <c r="M157" s="322"/>
      <c r="N157" s="351"/>
      <c r="O157" s="351"/>
      <c r="P157" s="351"/>
      <c r="Q157" s="351"/>
      <c r="R157" s="166"/>
      <c r="S157" s="350"/>
    </row>
    <row r="158" spans="1:19">
      <c r="A158" s="320">
        <f t="shared" ref="A158:B161" si="34">A59</f>
        <v>0</v>
      </c>
      <c r="B158" s="3383" t="str">
        <f t="shared" si="34"/>
        <v>סה"כ תקבולים</v>
      </c>
      <c r="C158" s="3383"/>
      <c r="D158" s="352">
        <f t="shared" ref="D158:R158" si="35">D59</f>
        <v>0</v>
      </c>
      <c r="E158" s="2897">
        <f t="shared" si="35"/>
        <v>836225</v>
      </c>
      <c r="F158" s="353">
        <f t="shared" si="35"/>
        <v>0</v>
      </c>
      <c r="G158" s="354">
        <f t="shared" si="35"/>
        <v>853785</v>
      </c>
      <c r="H158" s="322">
        <f t="shared" si="35"/>
        <v>0</v>
      </c>
      <c r="I158" s="354">
        <f t="shared" si="35"/>
        <v>795695</v>
      </c>
      <c r="J158" s="355">
        <f t="shared" si="35"/>
        <v>0</v>
      </c>
      <c r="K158" s="323">
        <f t="shared" si="35"/>
        <v>0</v>
      </c>
      <c r="L158" s="323">
        <f t="shared" si="35"/>
        <v>0</v>
      </c>
      <c r="M158" s="323">
        <f t="shared" si="35"/>
        <v>0</v>
      </c>
      <c r="N158" s="323">
        <f t="shared" si="35"/>
        <v>0</v>
      </c>
      <c r="O158" s="323">
        <f t="shared" si="35"/>
        <v>0</v>
      </c>
      <c r="P158" s="323">
        <f t="shared" si="35"/>
        <v>0</v>
      </c>
      <c r="Q158" s="323">
        <f t="shared" si="35"/>
        <v>0</v>
      </c>
      <c r="R158" s="323">
        <f t="shared" si="35"/>
        <v>0</v>
      </c>
      <c r="S158" s="355">
        <f>S59</f>
        <v>0</v>
      </c>
    </row>
    <row r="159" spans="1:19">
      <c r="A159" s="320">
        <f t="shared" si="34"/>
        <v>0</v>
      </c>
      <c r="B159" s="3383" t="str">
        <f t="shared" si="34"/>
        <v>סה"כ תשלומים</v>
      </c>
      <c r="C159" s="3383"/>
      <c r="D159" s="352">
        <f t="shared" ref="D159:R159" si="36">D60</f>
        <v>0</v>
      </c>
      <c r="E159" s="356">
        <f t="shared" si="36"/>
        <v>836225</v>
      </c>
      <c r="F159" s="353">
        <f t="shared" si="36"/>
        <v>0</v>
      </c>
      <c r="G159" s="356">
        <f t="shared" si="36"/>
        <v>836268</v>
      </c>
      <c r="H159" s="322">
        <f t="shared" si="36"/>
        <v>0</v>
      </c>
      <c r="I159" s="356">
        <f t="shared" si="36"/>
        <v>785053</v>
      </c>
      <c r="J159" s="355">
        <f t="shared" si="36"/>
        <v>0</v>
      </c>
      <c r="K159" s="323">
        <f t="shared" si="36"/>
        <v>0</v>
      </c>
      <c r="L159" s="357">
        <f t="shared" si="36"/>
        <v>0</v>
      </c>
      <c r="M159" s="357">
        <f t="shared" si="36"/>
        <v>0</v>
      </c>
      <c r="N159" s="323">
        <f t="shared" si="36"/>
        <v>0</v>
      </c>
      <c r="O159" s="323">
        <f t="shared" si="36"/>
        <v>0</v>
      </c>
      <c r="P159" s="323">
        <f t="shared" si="36"/>
        <v>0</v>
      </c>
      <c r="Q159" s="357">
        <f t="shared" si="36"/>
        <v>0</v>
      </c>
      <c r="R159" s="357">
        <f t="shared" si="36"/>
        <v>0</v>
      </c>
      <c r="S159" s="355">
        <f>S60</f>
        <v>0</v>
      </c>
    </row>
    <row r="160" spans="1:19" ht="13.8" thickBot="1">
      <c r="A160" s="320">
        <f t="shared" si="34"/>
        <v>0</v>
      </c>
      <c r="B160" s="3383" t="str">
        <f t="shared" si="34"/>
        <v>עודף בשנת הדוח</v>
      </c>
      <c r="C160" s="3383"/>
      <c r="D160" s="352">
        <f t="shared" ref="D160:R160" si="37">D61</f>
        <v>0</v>
      </c>
      <c r="E160" s="358">
        <f t="shared" si="37"/>
        <v>0</v>
      </c>
      <c r="F160" s="353">
        <f t="shared" si="37"/>
        <v>0</v>
      </c>
      <c r="G160" s="358">
        <f t="shared" si="37"/>
        <v>17517</v>
      </c>
      <c r="H160" s="322">
        <f t="shared" si="37"/>
        <v>0</v>
      </c>
      <c r="I160" s="358">
        <f t="shared" si="37"/>
        <v>10642</v>
      </c>
      <c r="J160" s="355">
        <f t="shared" si="37"/>
        <v>0</v>
      </c>
      <c r="K160" s="323">
        <f t="shared" si="37"/>
        <v>0</v>
      </c>
      <c r="L160" s="357">
        <f t="shared" si="37"/>
        <v>0</v>
      </c>
      <c r="M160" s="357">
        <f t="shared" si="37"/>
        <v>0</v>
      </c>
      <c r="N160" s="357">
        <f t="shared" si="37"/>
        <v>0</v>
      </c>
      <c r="O160" s="357">
        <f t="shared" si="37"/>
        <v>0</v>
      </c>
      <c r="P160" s="357">
        <f t="shared" si="37"/>
        <v>0</v>
      </c>
      <c r="Q160" s="357">
        <f t="shared" si="37"/>
        <v>0</v>
      </c>
      <c r="R160" s="357">
        <f t="shared" si="37"/>
        <v>0</v>
      </c>
      <c r="S160" s="355">
        <f>S61</f>
        <v>0</v>
      </c>
    </row>
    <row r="161" spans="1:19" ht="13.8" thickTop="1">
      <c r="A161" s="320">
        <f t="shared" si="34"/>
        <v>0</v>
      </c>
      <c r="B161" s="3008">
        <f>IF(B63&lt;&gt;"(***)",B63,0)</f>
        <v>0</v>
      </c>
      <c r="C161" s="350">
        <f>C62</f>
        <v>0</v>
      </c>
      <c r="D161" s="166">
        <f t="shared" ref="D161:R161" si="38">D62</f>
        <v>0</v>
      </c>
      <c r="E161" s="166">
        <f t="shared" si="38"/>
        <v>0</v>
      </c>
      <c r="F161" s="166">
        <f t="shared" si="38"/>
        <v>0</v>
      </c>
      <c r="G161" s="166">
        <f t="shared" si="38"/>
        <v>0</v>
      </c>
      <c r="H161" s="166">
        <f t="shared" si="38"/>
        <v>0</v>
      </c>
      <c r="I161" s="166">
        <f t="shared" si="38"/>
        <v>0</v>
      </c>
      <c r="J161" s="350">
        <f t="shared" si="38"/>
        <v>0</v>
      </c>
      <c r="K161" s="323">
        <f t="shared" si="38"/>
        <v>0</v>
      </c>
      <c r="L161" s="357">
        <f t="shared" si="38"/>
        <v>0</v>
      </c>
      <c r="M161" s="357">
        <f t="shared" si="38"/>
        <v>0</v>
      </c>
      <c r="N161" s="357">
        <f t="shared" si="38"/>
        <v>0</v>
      </c>
      <c r="O161" s="357">
        <f t="shared" si="38"/>
        <v>0</v>
      </c>
      <c r="P161" s="357">
        <f t="shared" si="38"/>
        <v>0</v>
      </c>
      <c r="Q161" s="357">
        <f t="shared" si="38"/>
        <v>0</v>
      </c>
      <c r="R161" s="357">
        <f t="shared" si="38"/>
        <v>0</v>
      </c>
      <c r="S161" s="350">
        <f>S62</f>
        <v>0</v>
      </c>
    </row>
    <row r="162" spans="1:19">
      <c r="A162" s="359"/>
      <c r="B162" s="359"/>
      <c r="C162" s="359"/>
      <c r="D162" s="359"/>
      <c r="E162" s="359"/>
      <c r="F162" s="359"/>
      <c r="G162" s="359"/>
      <c r="H162" s="359"/>
      <c r="I162" s="359"/>
      <c r="J162" s="359"/>
      <c r="K162" s="359"/>
      <c r="L162" s="359"/>
      <c r="M162" s="359"/>
      <c r="N162" s="359"/>
      <c r="O162" s="359"/>
      <c r="P162" s="359"/>
      <c r="Q162" s="359"/>
      <c r="R162" s="359"/>
      <c r="S162" s="359"/>
    </row>
  </sheetData>
  <sheetProtection password="83C1" sheet="1" objects="1" scenarios="1"/>
  <mergeCells count="69">
    <mergeCell ref="B105:C105"/>
    <mergeCell ref="B118:C118"/>
    <mergeCell ref="B122:C122"/>
    <mergeCell ref="B126:C126"/>
    <mergeCell ref="B123:C123"/>
    <mergeCell ref="B106:C106"/>
    <mergeCell ref="B107:C107"/>
    <mergeCell ref="B108:C108"/>
    <mergeCell ref="B110:C110"/>
    <mergeCell ref="B109:C109"/>
    <mergeCell ref="B111:C111"/>
    <mergeCell ref="B112:C112"/>
    <mergeCell ref="B113:C113"/>
    <mergeCell ref="B120:C120"/>
    <mergeCell ref="B121:C121"/>
    <mergeCell ref="G2:R2"/>
    <mergeCell ref="B15:C15"/>
    <mergeCell ref="M7:M8"/>
    <mergeCell ref="B7:C8"/>
    <mergeCell ref="D7:D8"/>
    <mergeCell ref="G3:R3"/>
    <mergeCell ref="G4:R4"/>
    <mergeCell ref="L7:L8"/>
    <mergeCell ref="G5:L5"/>
    <mergeCell ref="B131:C131"/>
    <mergeCell ref="B128:C128"/>
    <mergeCell ref="B124:C124"/>
    <mergeCell ref="B125:C125"/>
    <mergeCell ref="E101:N101"/>
    <mergeCell ref="G104:L104"/>
    <mergeCell ref="B102:R102"/>
    <mergeCell ref="E103:N103"/>
    <mergeCell ref="B129:C129"/>
    <mergeCell ref="B130:C130"/>
    <mergeCell ref="B114:C114"/>
    <mergeCell ref="B119:C119"/>
    <mergeCell ref="B115:C115"/>
    <mergeCell ref="B116:C116"/>
    <mergeCell ref="B117:C117"/>
    <mergeCell ref="B127:C127"/>
    <mergeCell ref="B132:C132"/>
    <mergeCell ref="B160:C160"/>
    <mergeCell ref="B156:C156"/>
    <mergeCell ref="B155:C155"/>
    <mergeCell ref="B137:C137"/>
    <mergeCell ref="B138:C138"/>
    <mergeCell ref="B149:C149"/>
    <mergeCell ref="B147:C147"/>
    <mergeCell ref="B143:C143"/>
    <mergeCell ref="B144:C144"/>
    <mergeCell ref="B142:C142"/>
    <mergeCell ref="B148:C148"/>
    <mergeCell ref="B133:C133"/>
    <mergeCell ref="B135:C135"/>
    <mergeCell ref="B134:C134"/>
    <mergeCell ref="B136:C136"/>
    <mergeCell ref="B139:C139"/>
    <mergeCell ref="B140:C140"/>
    <mergeCell ref="B141:C141"/>
    <mergeCell ref="B158:C158"/>
    <mergeCell ref="B159:C159"/>
    <mergeCell ref="B145:C145"/>
    <mergeCell ref="B146:C146"/>
    <mergeCell ref="B152:C152"/>
    <mergeCell ref="B157:C157"/>
    <mergeCell ref="B150:C150"/>
    <mergeCell ref="B151:C151"/>
    <mergeCell ref="B153:C153"/>
    <mergeCell ref="B154:C154"/>
  </mergeCells>
  <phoneticPr fontId="4" type="noConversion"/>
  <conditionalFormatting sqref="N129">
    <cfRule type="expression" dxfId="57" priority="1" stopIfTrue="1">
      <formula>AND(N129=0,P129=0,R129=0)</formula>
    </cfRule>
  </conditionalFormatting>
  <conditionalFormatting sqref="P129">
    <cfRule type="expression" dxfId="56" priority="2" stopIfTrue="1">
      <formula>AND($N$129=0,$P$129=0,$R$129=0)</formula>
    </cfRule>
  </conditionalFormatting>
  <conditionalFormatting sqref="N114 P114 R114">
    <cfRule type="expression" dxfId="55" priority="3" stopIfTrue="1">
      <formula>AND($N$114=0,$P$114=0,$R$114=0)</formula>
    </cfRule>
  </conditionalFormatting>
  <conditionalFormatting sqref="N139 P139">
    <cfRule type="expression" dxfId="54" priority="4" stopIfTrue="1">
      <formula>AND($N$139=0,$P$139=0,$R$139=0)</formula>
    </cfRule>
  </conditionalFormatting>
  <conditionalFormatting sqref="N150 P150">
    <cfRule type="expression" dxfId="53" priority="5" stopIfTrue="1">
      <formula>AND($N$150=0,$P$150=0,$R$150=0)</formula>
    </cfRule>
  </conditionalFormatting>
  <conditionalFormatting sqref="N152 P152">
    <cfRule type="expression" dxfId="52" priority="6" stopIfTrue="1">
      <formula>AND($N$152=0,$P$152=0,$R$152=0)</formula>
    </cfRule>
  </conditionalFormatting>
  <conditionalFormatting sqref="E117 G117 I117">
    <cfRule type="expression" dxfId="51" priority="7" stopIfTrue="1">
      <formula>AND($E$117=0,$G$117=0,$I$117=0)</formula>
    </cfRule>
  </conditionalFormatting>
  <conditionalFormatting sqref="E129 G129 I129">
    <cfRule type="expression" dxfId="50" priority="8" stopIfTrue="1">
      <formula>AND($E$129=0,$G$129=0,$I$129=0)</formula>
    </cfRule>
  </conditionalFormatting>
  <conditionalFormatting sqref="E139 G139 I139">
    <cfRule type="expression" dxfId="49" priority="9" stopIfTrue="1">
      <formula>AND($E$139=0,$G$139=0,$I$139=0)</formula>
    </cfRule>
  </conditionalFormatting>
  <conditionalFormatting sqref="E150 G150 I150">
    <cfRule type="expression" dxfId="48" priority="10" stopIfTrue="1">
      <formula>AND($E$150=0,$G$150=0,$I$150=0)</formula>
    </cfRule>
  </conditionalFormatting>
  <conditionalFormatting sqref="E152 G152 I152 R152">
    <cfRule type="expression" dxfId="47" priority="11" stopIfTrue="1">
      <formula>AND($E$152=0,$G$152=0,$I$152=0)</formula>
    </cfRule>
  </conditionalFormatting>
  <conditionalFormatting sqref="R117">
    <cfRule type="expression" dxfId="46" priority="12" stopIfTrue="1">
      <formula>AND($N$117=0,$P$117=0,$R$117=0)</formula>
    </cfRule>
  </conditionalFormatting>
  <conditionalFormatting sqref="R129">
    <cfRule type="expression" dxfId="45" priority="13" stopIfTrue="1">
      <formula>AND($N$129=0,$P$129=0,$R$129=0)</formula>
    </cfRule>
  </conditionalFormatting>
  <conditionalFormatting sqref="R139">
    <cfRule type="expression" dxfId="44" priority="14" stopIfTrue="1">
      <formula>AND($N$139=0,$P$139=0,$R$139=0)</formula>
    </cfRule>
  </conditionalFormatting>
  <conditionalFormatting sqref="R150">
    <cfRule type="expression" dxfId="43" priority="15" stopIfTrue="1">
      <formula>AND($N$150=0,$P$150=0,$R$150=0)</formula>
    </cfRule>
  </conditionalFormatting>
  <dataValidations count="3">
    <dataValidation type="list" allowBlank="1" showInputMessage="1" showErrorMessage="1" sqref="B63">
      <formula1>"מוין מחדש"</formula1>
    </dataValidation>
    <dataValidation type="list" allowBlank="1" showInputMessage="1" showErrorMessage="1" sqref="L43">
      <formula1>"91 מים (כולל פרעון מלוות),91 מים"</formula1>
    </dataValidation>
    <dataValidation type="list" allowBlank="1" showInputMessage="1" showErrorMessage="1" sqref="L49">
      <formula1>"97 מפעל הביוב (כולל פרעון מלוות),97 מפעל הביוב"</formula1>
    </dataValidation>
  </dataValidations>
  <hyperlinks>
    <hyperlink ref="A5" location="'תוכן הענינים'!A1" tooltip="לחץ להצגת גליון תוכן הענינים" display="הצג תוכן ענינים"/>
  </hyperlinks>
  <printOptions horizontalCentered="1"/>
  <pageMargins left="0" right="0" top="0.75" bottom="0.25" header="0.25" footer="0"/>
  <pageSetup paperSize="9" scale="77" orientation="portrait" blackAndWhite="1" horizontalDpi="300" verticalDpi="300" r:id="rId1"/>
  <headerFooter alignWithMargins="0">
    <oddHeader>&amp;L&amp;8&amp;A</oddHeader>
    <oddFooter>&amp;L&amp;12 &amp;C&amp;8 &amp;P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4">
    <pageSetUpPr autoPageBreaks="0"/>
  </sheetPr>
  <dimension ref="A1:N147"/>
  <sheetViews>
    <sheetView showGridLines="0" showRowColHeaders="0" showZeros="0" rightToLeft="1" showOutlineSymbols="0" zoomScaleNormal="100" zoomScaleSheetLayoutView="75" workbookViewId="0">
      <selection activeCell="A6" sqref="A6"/>
    </sheetView>
  </sheetViews>
  <sheetFormatPr defaultColWidth="9.109375" defaultRowHeight="13.2"/>
  <cols>
    <col min="1" max="1" width="5.6640625" style="362" customWidth="1"/>
    <col min="2" max="2" width="2.6640625" style="362" customWidth="1"/>
    <col min="3" max="3" width="4.88671875" style="362" customWidth="1"/>
    <col min="4" max="4" width="3.44140625" style="362" customWidth="1"/>
    <col min="5" max="5" width="28.33203125" style="362" customWidth="1"/>
    <col min="6" max="6" width="4.33203125" style="362" customWidth="1"/>
    <col min="7" max="7" width="15" style="362" customWidth="1"/>
    <col min="8" max="8" width="4.44140625" style="441" customWidth="1"/>
    <col min="9" max="9" width="14.88671875" style="362" customWidth="1"/>
    <col min="10" max="10" width="2.5546875" style="362" customWidth="1"/>
    <col min="11" max="11" width="9.88671875" style="362" customWidth="1"/>
    <col min="12" max="12" width="9.109375" style="362"/>
    <col min="13" max="13" width="14" style="362" customWidth="1"/>
    <col min="14" max="16384" width="9.109375" style="362"/>
  </cols>
  <sheetData>
    <row r="1" spans="1:14" ht="6.75" customHeight="1">
      <c r="A1" s="360"/>
      <c r="B1" s="3430"/>
      <c r="C1" s="3430"/>
      <c r="D1" s="3430"/>
      <c r="E1" s="3430"/>
      <c r="F1" s="3430"/>
      <c r="G1" s="3430"/>
      <c r="H1" s="3430"/>
      <c r="I1" s="3430"/>
      <c r="J1" s="3430"/>
      <c r="K1" s="3430"/>
      <c r="L1" s="360"/>
      <c r="M1" s="360"/>
      <c r="N1" s="361"/>
    </row>
    <row r="2" spans="1:14" ht="15.6">
      <c r="A2" s="360"/>
      <c r="B2" s="183"/>
      <c r="C2" s="183"/>
      <c r="D2" s="183"/>
      <c r="E2" s="183"/>
      <c r="F2" s="183"/>
      <c r="G2" s="3431" t="str">
        <f>'הגדרות כלליות'!D6</f>
        <v>עירית הרצליה</v>
      </c>
      <c r="H2" s="3432"/>
      <c r="I2" s="3432"/>
      <c r="J2" s="3432"/>
      <c r="K2" s="3432"/>
      <c r="L2" s="3432"/>
      <c r="M2" s="3432"/>
      <c r="N2" s="361"/>
    </row>
    <row r="3" spans="1:14" ht="16.2" customHeight="1">
      <c r="A3" s="360"/>
      <c r="B3" s="183"/>
      <c r="C3" s="183"/>
      <c r="D3" s="183"/>
      <c r="E3" s="183"/>
      <c r="F3" s="183"/>
      <c r="G3" s="3431" t="str">
        <f>CONCATENATE("הדוח הכספי לשנת ",'הגדרות כלליות'!D10)</f>
        <v>הדוח הכספי לשנת 2015</v>
      </c>
      <c r="H3" s="3432"/>
      <c r="I3" s="3432"/>
      <c r="J3" s="3432"/>
      <c r="K3" s="3432"/>
      <c r="L3" s="3432"/>
      <c r="M3" s="3432"/>
      <c r="N3" s="361"/>
    </row>
    <row r="4" spans="1:14" ht="15.6" customHeight="1">
      <c r="A4" s="360"/>
      <c r="B4" s="363"/>
      <c r="C4" s="363"/>
      <c r="D4" s="363"/>
      <c r="E4" s="363"/>
      <c r="F4" s="3439" t="s">
        <v>484</v>
      </c>
      <c r="G4" s="3440"/>
      <c r="H4" s="3440"/>
      <c r="I4" s="3440"/>
      <c r="J4" s="3440"/>
      <c r="K4" s="3440"/>
      <c r="L4" s="3440"/>
      <c r="M4" s="3440"/>
      <c r="N4" s="361"/>
    </row>
    <row r="5" spans="1:14" ht="18.75" hidden="1" customHeight="1">
      <c r="B5" s="3436"/>
      <c r="C5" s="3437"/>
      <c r="D5" s="3437"/>
      <c r="E5" s="3437"/>
      <c r="F5" s="3437"/>
      <c r="G5" s="3437"/>
      <c r="H5" s="3437"/>
      <c r="I5" s="3437"/>
      <c r="J5" s="3437"/>
      <c r="K5" s="3437"/>
      <c r="L5" s="360"/>
      <c r="M5" s="360"/>
      <c r="N5" s="361"/>
    </row>
    <row r="6" spans="1:14" ht="24" customHeight="1">
      <c r="A6" s="188" t="s">
        <v>339</v>
      </c>
      <c r="B6" s="364"/>
      <c r="C6" s="365"/>
      <c r="D6" s="366"/>
      <c r="E6" s="366"/>
      <c r="F6" s="367"/>
      <c r="G6" s="367"/>
      <c r="H6" s="367"/>
      <c r="I6" s="367"/>
      <c r="J6" s="368"/>
      <c r="K6" s="368"/>
      <c r="L6" s="369"/>
      <c r="M6" s="369"/>
      <c r="N6" s="361"/>
    </row>
    <row r="7" spans="1:14" ht="15" customHeight="1">
      <c r="A7" s="369"/>
      <c r="B7" s="370"/>
      <c r="C7" s="371" t="s">
        <v>360</v>
      </c>
      <c r="D7" s="372"/>
      <c r="E7" s="373"/>
      <c r="F7" s="373"/>
      <c r="G7" s="2912">
        <f>'הגדרות כלליות'!D10</f>
        <v>2015</v>
      </c>
      <c r="H7" s="374"/>
      <c r="I7" s="2913">
        <f>'הגדרות כלליות'!D12</f>
        <v>2014</v>
      </c>
      <c r="J7" s="375"/>
      <c r="K7" s="376"/>
      <c r="L7" s="369"/>
      <c r="M7" s="369"/>
      <c r="N7" s="361"/>
    </row>
    <row r="8" spans="1:14">
      <c r="A8" s="369"/>
      <c r="B8" s="377" t="s">
        <v>397</v>
      </c>
      <c r="C8" s="378" t="s">
        <v>485</v>
      </c>
      <c r="D8" s="379"/>
      <c r="E8" s="380"/>
      <c r="F8" s="381"/>
      <c r="G8" s="382"/>
      <c r="H8" s="383"/>
      <c r="I8" s="382"/>
      <c r="J8" s="382"/>
      <c r="K8" s="384"/>
      <c r="L8" s="369"/>
      <c r="M8" s="369"/>
      <c r="N8" s="361"/>
    </row>
    <row r="9" spans="1:14">
      <c r="A9" s="369"/>
      <c r="B9" s="385"/>
      <c r="C9" s="386" t="s">
        <v>486</v>
      </c>
      <c r="D9" s="3438" t="s">
        <v>392</v>
      </c>
      <c r="E9" s="3438"/>
      <c r="F9" s="226"/>
      <c r="G9" s="382"/>
      <c r="H9" s="239"/>
      <c r="I9" s="382"/>
      <c r="J9" s="382"/>
      <c r="K9" s="387"/>
      <c r="L9" s="369"/>
      <c r="M9" s="369"/>
      <c r="N9" s="361"/>
    </row>
    <row r="10" spans="1:14">
      <c r="A10" s="369"/>
      <c r="B10" s="385"/>
      <c r="C10" s="380"/>
      <c r="D10" s="380"/>
      <c r="E10" s="380" t="s">
        <v>487</v>
      </c>
      <c r="F10" s="381"/>
      <c r="G10" s="390">
        <f>'נתונים לטופס 3'!$D$21</f>
        <v>22160</v>
      </c>
      <c r="H10" s="388"/>
      <c r="I10" s="390">
        <f>'נתונים לטופס 3'!$E$21</f>
        <v>3675</v>
      </c>
      <c r="J10" s="234"/>
      <c r="K10" s="387"/>
      <c r="L10" s="369"/>
      <c r="M10" s="369"/>
      <c r="N10" s="361"/>
    </row>
    <row r="11" spans="1:14">
      <c r="A11" s="369"/>
      <c r="B11" s="385"/>
      <c r="C11" s="380"/>
      <c r="D11" s="380"/>
      <c r="E11" s="380" t="s">
        <v>488</v>
      </c>
      <c r="F11" s="381"/>
      <c r="G11" s="389">
        <v>17150</v>
      </c>
      <c r="H11" s="388"/>
      <c r="I11" s="389">
        <v>6271</v>
      </c>
      <c r="J11" s="234"/>
      <c r="K11" s="387"/>
      <c r="L11" s="369"/>
      <c r="M11" s="369"/>
      <c r="N11" s="361"/>
    </row>
    <row r="12" spans="1:14">
      <c r="A12" s="369"/>
      <c r="B12" s="385"/>
      <c r="C12" s="380"/>
      <c r="D12" s="380"/>
      <c r="E12" s="380" t="s">
        <v>489</v>
      </c>
      <c r="F12" s="381"/>
      <c r="G12" s="389"/>
      <c r="H12" s="388"/>
      <c r="I12" s="389"/>
      <c r="J12" s="234"/>
      <c r="K12" s="387"/>
      <c r="L12" s="369"/>
      <c r="M12" s="369"/>
      <c r="N12" s="361"/>
    </row>
    <row r="13" spans="1:14">
      <c r="A13" s="369"/>
      <c r="B13" s="385"/>
      <c r="C13" s="380"/>
      <c r="D13" s="380"/>
      <c r="E13" s="380" t="s">
        <v>490</v>
      </c>
      <c r="F13" s="381"/>
      <c r="G13" s="390">
        <f>'נתונים לטופס 3'!$D$28</f>
        <v>282120</v>
      </c>
      <c r="H13" s="391"/>
      <c r="I13" s="390">
        <f>'נתונים לטופס 3'!$E$28</f>
        <v>229573</v>
      </c>
      <c r="J13" s="234"/>
      <c r="K13" s="392"/>
      <c r="L13" s="369"/>
      <c r="M13" s="369"/>
      <c r="N13" s="361"/>
    </row>
    <row r="14" spans="1:14">
      <c r="A14" s="369"/>
      <c r="B14" s="385"/>
      <c r="C14" s="3215"/>
      <c r="D14" s="3215"/>
      <c r="E14" s="3215" t="s">
        <v>2112</v>
      </c>
      <c r="F14" s="381"/>
      <c r="G14" s="389"/>
      <c r="H14" s="391"/>
      <c r="I14" s="389"/>
      <c r="J14" s="234"/>
      <c r="K14" s="392"/>
      <c r="L14" s="369"/>
      <c r="M14" s="369"/>
      <c r="N14" s="361"/>
    </row>
    <row r="15" spans="1:14">
      <c r="A15" s="369"/>
      <c r="B15" s="385"/>
      <c r="C15" s="380"/>
      <c r="D15" s="380"/>
      <c r="E15" s="380" t="s">
        <v>491</v>
      </c>
      <c r="F15" s="381"/>
      <c r="G15" s="393">
        <f>'נתונים לטופס 3'!$D$8</f>
        <v>0</v>
      </c>
      <c r="H15" s="388"/>
      <c r="I15" s="393">
        <f>'נתונים לטופס 3'!$E$8</f>
        <v>15133</v>
      </c>
      <c r="J15" s="234"/>
      <c r="K15" s="394"/>
      <c r="L15" s="369"/>
      <c r="M15" s="369"/>
      <c r="N15" s="361"/>
    </row>
    <row r="16" spans="1:14">
      <c r="A16" s="369"/>
      <c r="B16" s="385"/>
      <c r="C16" s="380"/>
      <c r="D16" s="380"/>
      <c r="E16" s="380" t="s">
        <v>492</v>
      </c>
      <c r="F16" s="381"/>
      <c r="G16" s="389"/>
      <c r="H16" s="388"/>
      <c r="I16" s="389"/>
      <c r="J16" s="234"/>
      <c r="K16" s="394"/>
      <c r="L16" s="369"/>
      <c r="M16" s="369"/>
      <c r="N16" s="361"/>
    </row>
    <row r="17" spans="1:14">
      <c r="A17" s="369"/>
      <c r="B17" s="385"/>
      <c r="C17" s="380"/>
      <c r="D17" s="380"/>
      <c r="E17" s="395" t="s">
        <v>350</v>
      </c>
      <c r="F17" s="381"/>
      <c r="G17" s="396"/>
      <c r="H17" s="388"/>
      <c r="I17" s="396"/>
      <c r="J17" s="234"/>
      <c r="K17" s="394"/>
      <c r="L17" s="369"/>
      <c r="M17" s="369"/>
      <c r="N17" s="361"/>
    </row>
    <row r="18" spans="1:14">
      <c r="A18" s="369"/>
      <c r="B18" s="385"/>
      <c r="C18" s="380"/>
      <c r="D18" s="380"/>
      <c r="E18" s="380" t="s">
        <v>482</v>
      </c>
      <c r="F18" s="381"/>
      <c r="G18" s="397">
        <f>SUM(G10:G17)</f>
        <v>321430</v>
      </c>
      <c r="H18" s="117"/>
      <c r="I18" s="397">
        <f>SUM(I10:I17)</f>
        <v>254652</v>
      </c>
      <c r="J18" s="234"/>
      <c r="K18" s="387"/>
      <c r="L18" s="369"/>
      <c r="M18" s="369"/>
      <c r="N18" s="361"/>
    </row>
    <row r="19" spans="1:14">
      <c r="A19" s="369"/>
      <c r="B19" s="385"/>
      <c r="C19" s="380"/>
      <c r="D19" s="380"/>
      <c r="E19" s="380"/>
      <c r="F19" s="381"/>
      <c r="G19" s="398"/>
      <c r="H19" s="388"/>
      <c r="I19" s="398"/>
      <c r="J19" s="382"/>
      <c r="K19" s="387"/>
      <c r="L19" s="369"/>
      <c r="M19" s="369"/>
      <c r="N19" s="361"/>
    </row>
    <row r="20" spans="1:14">
      <c r="A20" s="369"/>
      <c r="B20" s="385"/>
      <c r="C20" s="386" t="s">
        <v>493</v>
      </c>
      <c r="D20" s="3438" t="s">
        <v>393</v>
      </c>
      <c r="E20" s="3438"/>
      <c r="F20" s="226"/>
      <c r="G20" s="398"/>
      <c r="H20" s="117"/>
      <c r="I20" s="398"/>
      <c r="J20" s="382"/>
      <c r="K20" s="387"/>
      <c r="L20" s="369"/>
      <c r="M20" s="369"/>
      <c r="N20" s="361"/>
    </row>
    <row r="21" spans="1:14">
      <c r="A21" s="369"/>
      <c r="B21" s="385"/>
      <c r="C21" s="380"/>
      <c r="D21" s="380"/>
      <c r="E21" s="380" t="s">
        <v>494</v>
      </c>
      <c r="F21" s="381"/>
      <c r="G21" s="399">
        <v>122495</v>
      </c>
      <c r="H21" s="391"/>
      <c r="I21" s="231">
        <v>179283</v>
      </c>
      <c r="J21" s="234"/>
      <c r="K21" s="392"/>
      <c r="L21" s="369"/>
      <c r="M21" s="369"/>
      <c r="N21" s="361"/>
    </row>
    <row r="22" spans="1:14">
      <c r="A22" s="369"/>
      <c r="B22" s="385"/>
      <c r="C22" s="380"/>
      <c r="D22" s="380"/>
      <c r="E22" s="380" t="s">
        <v>495</v>
      </c>
      <c r="F22" s="381"/>
      <c r="G22" s="400">
        <v>17567</v>
      </c>
      <c r="H22" s="388"/>
      <c r="I22" s="389">
        <v>12962</v>
      </c>
      <c r="J22" s="234"/>
      <c r="K22" s="392"/>
      <c r="L22" s="369"/>
      <c r="M22" s="369"/>
      <c r="N22" s="361"/>
    </row>
    <row r="23" spans="1:14">
      <c r="A23" s="369"/>
      <c r="B23" s="385"/>
      <c r="C23" s="380"/>
      <c r="D23" s="380"/>
      <c r="E23" s="380" t="s">
        <v>496</v>
      </c>
      <c r="F23" s="381"/>
      <c r="G23" s="401">
        <f>'נתונים לטופס 3'!$D$36</f>
        <v>0</v>
      </c>
      <c r="H23" s="388"/>
      <c r="I23" s="393">
        <f>'נתונים לטופס 3'!$E$36</f>
        <v>0</v>
      </c>
      <c r="J23" s="234"/>
      <c r="K23" s="392"/>
      <c r="L23" s="369"/>
      <c r="M23" s="369"/>
      <c r="N23" s="361"/>
    </row>
    <row r="24" spans="1:14">
      <c r="A24" s="369"/>
      <c r="B24" s="385"/>
      <c r="C24" s="380"/>
      <c r="D24" s="380"/>
      <c r="E24" s="380" t="s">
        <v>497</v>
      </c>
      <c r="F24" s="381"/>
      <c r="G24" s="400">
        <v>27702</v>
      </c>
      <c r="H24" s="388"/>
      <c r="I24" s="389">
        <v>42277</v>
      </c>
      <c r="J24" s="234"/>
      <c r="K24" s="392"/>
      <c r="L24" s="369"/>
      <c r="M24" s="369"/>
      <c r="N24" s="361"/>
    </row>
    <row r="25" spans="1:14" ht="32.25" customHeight="1">
      <c r="A25" s="369"/>
      <c r="B25" s="385"/>
      <c r="C25" s="380"/>
      <c r="D25" s="380"/>
      <c r="E25" s="402" t="s">
        <v>498</v>
      </c>
      <c r="F25" s="381"/>
      <c r="G25" s="400">
        <v>4202</v>
      </c>
      <c r="H25" s="388"/>
      <c r="I25" s="389">
        <v>5987</v>
      </c>
      <c r="J25" s="234"/>
      <c r="K25" s="392"/>
      <c r="L25" s="369"/>
      <c r="M25" s="369"/>
      <c r="N25" s="361"/>
    </row>
    <row r="26" spans="1:14">
      <c r="A26" s="369"/>
      <c r="B26" s="385"/>
      <c r="C26" s="380"/>
      <c r="D26" s="380"/>
      <c r="E26" s="395" t="s">
        <v>350</v>
      </c>
      <c r="F26" s="381"/>
      <c r="G26" s="403"/>
      <c r="H26" s="388"/>
      <c r="I26" s="396"/>
      <c r="J26" s="234"/>
      <c r="K26" s="392"/>
      <c r="L26" s="369"/>
      <c r="M26" s="369"/>
      <c r="N26" s="361"/>
    </row>
    <row r="27" spans="1:14">
      <c r="A27" s="369"/>
      <c r="B27" s="385"/>
      <c r="C27" s="380"/>
      <c r="D27" s="380"/>
      <c r="E27" s="380" t="s">
        <v>483</v>
      </c>
      <c r="F27" s="381"/>
      <c r="G27" s="397">
        <f>SUM(G21:G26)</f>
        <v>171966</v>
      </c>
      <c r="H27" s="117"/>
      <c r="I27" s="397">
        <f>SUM(I21:I26)</f>
        <v>240509</v>
      </c>
      <c r="J27" s="234"/>
      <c r="K27" s="387"/>
      <c r="L27" s="369"/>
      <c r="M27" s="369"/>
      <c r="N27" s="361"/>
    </row>
    <row r="28" spans="1:14">
      <c r="A28" s="369"/>
      <c r="B28" s="385"/>
      <c r="C28" s="380"/>
      <c r="D28" s="380"/>
      <c r="E28" s="380"/>
      <c r="F28" s="381"/>
      <c r="G28" s="404"/>
      <c r="H28" s="388"/>
      <c r="I28" s="404"/>
      <c r="J28" s="382"/>
      <c r="K28" s="387"/>
      <c r="L28" s="369"/>
      <c r="M28" s="369"/>
      <c r="N28" s="361"/>
    </row>
    <row r="29" spans="1:14" ht="13.8" thickBot="1">
      <c r="A29" s="369"/>
      <c r="B29" s="385"/>
      <c r="C29" s="380"/>
      <c r="D29" s="380"/>
      <c r="E29" s="386" t="str">
        <f>IF(OR(AND(I29&gt;0,G29&gt;0),AND(I29&gt;0,G29=0),AND(I29=0,G29&gt;0)),'נתונים לטופס 1'!A49,IF(OR(AND(I29&lt;0,G29&lt;0),AND(I29&lt;0,G29=0),AND(I29=0,G29&lt;0)),'נתונים לטופס 1'!A50,IF(I29&gt;0,'נתונים לטופס 1'!A54,'נתונים לטופס 1'!A53)))</f>
        <v>עודף בשנת הדוח</v>
      </c>
      <c r="F29" s="381"/>
      <c r="G29" s="405">
        <f>G18-G27</f>
        <v>149464</v>
      </c>
      <c r="H29" s="388"/>
      <c r="I29" s="405">
        <f>I18-I27</f>
        <v>14143</v>
      </c>
      <c r="J29" s="234"/>
      <c r="K29" s="384"/>
      <c r="L29" s="369"/>
      <c r="M29" s="369"/>
      <c r="N29" s="361"/>
    </row>
    <row r="30" spans="1:14" ht="13.8" thickTop="1">
      <c r="A30" s="369"/>
      <c r="B30" s="406"/>
      <c r="C30" s="381"/>
      <c r="D30" s="381"/>
      <c r="E30" s="381"/>
      <c r="F30" s="381"/>
      <c r="G30" s="388"/>
      <c r="H30" s="388"/>
      <c r="I30" s="388"/>
      <c r="J30" s="382"/>
      <c r="K30" s="392"/>
      <c r="L30" s="369"/>
      <c r="M30" s="369"/>
      <c r="N30" s="361"/>
    </row>
    <row r="31" spans="1:14">
      <c r="A31" s="369"/>
      <c r="B31" s="377" t="s">
        <v>425</v>
      </c>
      <c r="C31" s="3434" t="s">
        <v>499</v>
      </c>
      <c r="D31" s="3434"/>
      <c r="E31" s="3434"/>
      <c r="F31" s="407"/>
      <c r="G31" s="408"/>
      <c r="H31" s="409"/>
      <c r="I31" s="408"/>
      <c r="J31" s="382"/>
      <c r="K31" s="410"/>
      <c r="L31" s="369"/>
      <c r="M31" s="369"/>
      <c r="N31" s="361"/>
    </row>
    <row r="32" spans="1:14">
      <c r="A32" s="369"/>
      <c r="B32" s="385"/>
      <c r="C32" s="380"/>
      <c r="D32" s="3428" t="s">
        <v>392</v>
      </c>
      <c r="E32" s="3428"/>
      <c r="F32" s="226"/>
      <c r="G32" s="411">
        <v>1464735</v>
      </c>
      <c r="H32" s="117"/>
      <c r="I32" s="411">
        <v>1328092</v>
      </c>
      <c r="J32" s="234"/>
      <c r="K32" s="387"/>
      <c r="L32" s="369"/>
      <c r="M32" s="369"/>
      <c r="N32" s="361"/>
    </row>
    <row r="33" spans="1:14">
      <c r="A33" s="369"/>
      <c r="B33" s="385"/>
      <c r="C33" s="380"/>
      <c r="D33" s="3428" t="s">
        <v>393</v>
      </c>
      <c r="E33" s="3428"/>
      <c r="F33" s="226"/>
      <c r="G33" s="396">
        <v>1338077</v>
      </c>
      <c r="H33" s="117"/>
      <c r="I33" s="396">
        <v>1215577</v>
      </c>
      <c r="J33" s="234"/>
      <c r="K33" s="412"/>
      <c r="L33" s="369"/>
      <c r="M33" s="369"/>
      <c r="N33" s="361"/>
    </row>
    <row r="34" spans="1:14" ht="13.8" thickBot="1">
      <c r="A34" s="369"/>
      <c r="B34" s="385"/>
      <c r="C34" s="380"/>
      <c r="D34" s="3435" t="s">
        <v>500</v>
      </c>
      <c r="E34" s="3435"/>
      <c r="F34" s="381"/>
      <c r="G34" s="413">
        <f>G32-G33</f>
        <v>126658</v>
      </c>
      <c r="H34" s="388"/>
      <c r="I34" s="413">
        <f>I32-I33</f>
        <v>112515</v>
      </c>
      <c r="J34" s="234"/>
      <c r="K34" s="384"/>
      <c r="L34" s="369"/>
      <c r="M34" s="369"/>
      <c r="N34" s="361"/>
    </row>
    <row r="35" spans="1:14" ht="13.8" thickTop="1">
      <c r="A35" s="369"/>
      <c r="B35" s="414"/>
      <c r="C35" s="415"/>
      <c r="D35" s="415"/>
      <c r="E35" s="415"/>
      <c r="F35" s="415"/>
      <c r="G35" s="416"/>
      <c r="H35" s="416"/>
      <c r="I35" s="416"/>
      <c r="J35" s="382"/>
      <c r="K35" s="417"/>
      <c r="L35" s="369"/>
      <c r="M35" s="369"/>
      <c r="N35" s="361"/>
    </row>
    <row r="36" spans="1:14">
      <c r="A36" s="369"/>
      <c r="B36" s="418" t="s">
        <v>445</v>
      </c>
      <c r="C36" s="3433" t="s">
        <v>501</v>
      </c>
      <c r="D36" s="3433"/>
      <c r="E36" s="3433"/>
      <c r="F36" s="419"/>
      <c r="G36" s="420"/>
      <c r="H36" s="421"/>
      <c r="I36" s="420"/>
      <c r="J36" s="382"/>
      <c r="K36" s="422"/>
      <c r="L36" s="369"/>
      <c r="M36" s="369"/>
      <c r="N36" s="361"/>
    </row>
    <row r="37" spans="1:14">
      <c r="A37" s="369"/>
      <c r="B37" s="385"/>
      <c r="C37" s="380"/>
      <c r="D37" s="3428" t="s">
        <v>392</v>
      </c>
      <c r="E37" s="3428"/>
      <c r="F37" s="226"/>
      <c r="G37" s="423">
        <f>G32+G18-G47</f>
        <v>1682660</v>
      </c>
      <c r="H37" s="424"/>
      <c r="I37" s="423">
        <f>I32+I18-I47</f>
        <v>1464735</v>
      </c>
      <c r="J37" s="234"/>
      <c r="K37" s="387"/>
      <c r="L37" s="369"/>
      <c r="M37" s="369"/>
      <c r="N37" s="361"/>
    </row>
    <row r="38" spans="1:14">
      <c r="A38" s="369"/>
      <c r="B38" s="385"/>
      <c r="C38" s="380"/>
      <c r="D38" s="3428" t="s">
        <v>393</v>
      </c>
      <c r="E38" s="3428"/>
      <c r="F38" s="226"/>
      <c r="G38" s="425">
        <f>G33+G27-G47</f>
        <v>1406538</v>
      </c>
      <c r="H38" s="424"/>
      <c r="I38" s="425">
        <f>I33+I27-I47</f>
        <v>1338077</v>
      </c>
      <c r="J38" s="234"/>
      <c r="K38" s="387"/>
      <c r="L38" s="369"/>
      <c r="M38" s="369"/>
      <c r="N38" s="361"/>
    </row>
    <row r="39" spans="1:14" ht="13.8" thickBot="1">
      <c r="A39" s="369"/>
      <c r="B39" s="385"/>
      <c r="C39" s="380"/>
      <c r="D39" s="3428" t="s">
        <v>502</v>
      </c>
      <c r="E39" s="3428"/>
      <c r="F39" s="226"/>
      <c r="G39" s="413">
        <f>G37-G38</f>
        <v>276122</v>
      </c>
      <c r="H39" s="245"/>
      <c r="I39" s="413">
        <f>I37-I38</f>
        <v>126658</v>
      </c>
      <c r="J39" s="234"/>
      <c r="K39" s="384"/>
      <c r="L39" s="369"/>
      <c r="M39" s="369"/>
      <c r="N39" s="361"/>
    </row>
    <row r="40" spans="1:14" ht="13.8" thickTop="1">
      <c r="A40" s="369"/>
      <c r="B40" s="385"/>
      <c r="C40" s="380"/>
      <c r="D40" s="380"/>
      <c r="E40" s="380"/>
      <c r="F40" s="381"/>
      <c r="G40" s="398"/>
      <c r="H40" s="426"/>
      <c r="I40" s="424"/>
      <c r="J40" s="382"/>
      <c r="K40" s="387"/>
      <c r="L40" s="369"/>
      <c r="M40" s="369"/>
      <c r="N40" s="361"/>
    </row>
    <row r="41" spans="1:14">
      <c r="A41" s="369"/>
      <c r="B41" s="385"/>
      <c r="C41" s="380"/>
      <c r="D41" s="3429" t="s">
        <v>503</v>
      </c>
      <c r="E41" s="3429"/>
      <c r="F41" s="226"/>
      <c r="G41" s="398"/>
      <c r="H41" s="245"/>
      <c r="I41" s="424"/>
      <c r="J41" s="382"/>
      <c r="K41" s="387"/>
      <c r="L41" s="369"/>
      <c r="M41" s="369"/>
      <c r="N41" s="361"/>
    </row>
    <row r="42" spans="1:14">
      <c r="A42" s="369"/>
      <c r="B42" s="385"/>
      <c r="C42" s="380"/>
      <c r="D42" s="3428" t="s">
        <v>504</v>
      </c>
      <c r="E42" s="3428"/>
      <c r="F42" s="226"/>
      <c r="G42" s="423">
        <f>'נספח 1 לטופס 3'!$N$41</f>
        <v>283185</v>
      </c>
      <c r="H42" s="245"/>
      <c r="I42" s="411">
        <v>140346</v>
      </c>
      <c r="J42" s="234"/>
      <c r="K42" s="387"/>
      <c r="L42" s="369"/>
      <c r="M42" s="369"/>
      <c r="N42" s="361"/>
    </row>
    <row r="43" spans="1:14">
      <c r="A43" s="369"/>
      <c r="B43" s="385"/>
      <c r="C43" s="380"/>
      <c r="D43" s="3428" t="s">
        <v>505</v>
      </c>
      <c r="E43" s="3428"/>
      <c r="F43" s="226"/>
      <c r="G43" s="425">
        <f>'נספח 1 לטופס 3'!$O$41</f>
        <v>7063</v>
      </c>
      <c r="H43" s="245"/>
      <c r="I43" s="396">
        <v>13688</v>
      </c>
      <c r="J43" s="234"/>
      <c r="K43" s="384"/>
      <c r="L43" s="369"/>
      <c r="M43" s="369"/>
      <c r="N43" s="361"/>
    </row>
    <row r="44" spans="1:14" ht="13.8" thickBot="1">
      <c r="A44" s="369"/>
      <c r="B44" s="385"/>
      <c r="C44" s="380"/>
      <c r="D44" s="380"/>
      <c r="E44" s="380"/>
      <c r="F44" s="381"/>
      <c r="G44" s="405">
        <f>G42-G43</f>
        <v>276122</v>
      </c>
      <c r="H44" s="426"/>
      <c r="I44" s="405">
        <f>I42-I43</f>
        <v>126658</v>
      </c>
      <c r="J44" s="234"/>
      <c r="K44" s="384"/>
      <c r="L44" s="369"/>
      <c r="M44" s="369"/>
      <c r="N44" s="361"/>
    </row>
    <row r="45" spans="1:14" ht="13.8" thickTop="1">
      <c r="A45" s="369"/>
      <c r="B45" s="385"/>
      <c r="C45" s="380"/>
      <c r="D45" s="380"/>
      <c r="E45" s="380"/>
      <c r="F45" s="381"/>
      <c r="G45" s="398"/>
      <c r="H45" s="426"/>
      <c r="I45" s="424"/>
      <c r="J45" s="382"/>
      <c r="K45" s="387"/>
      <c r="L45" s="369"/>
      <c r="M45" s="369"/>
      <c r="N45" s="361"/>
    </row>
    <row r="46" spans="1:14">
      <c r="A46" s="369"/>
      <c r="B46" s="385"/>
      <c r="C46" s="380" t="s">
        <v>506</v>
      </c>
      <c r="D46" s="3428" t="s">
        <v>507</v>
      </c>
      <c r="E46" s="3428"/>
      <c r="F46" s="381"/>
      <c r="G46" s="398"/>
      <c r="H46" s="426"/>
      <c r="I46" s="424"/>
      <c r="J46" s="382"/>
      <c r="K46" s="387"/>
      <c r="L46" s="369"/>
      <c r="M46" s="369"/>
      <c r="N46" s="361"/>
    </row>
    <row r="47" spans="1:14" ht="13.8" thickBot="1">
      <c r="A47" s="369"/>
      <c r="B47" s="385"/>
      <c r="C47" s="380"/>
      <c r="D47" s="3428" t="s">
        <v>520</v>
      </c>
      <c r="E47" s="3428"/>
      <c r="F47" s="381"/>
      <c r="G47" s="405">
        <f>'נספח 1 לטופס 3'!L40</f>
        <v>103505</v>
      </c>
      <c r="H47" s="426"/>
      <c r="I47" s="427">
        <v>118009</v>
      </c>
      <c r="J47" s="234"/>
      <c r="K47" s="387"/>
      <c r="L47" s="369"/>
      <c r="M47" s="369"/>
      <c r="N47" s="361"/>
    </row>
    <row r="48" spans="1:14" ht="13.8" thickTop="1">
      <c r="A48" s="369"/>
      <c r="B48" s="2789"/>
      <c r="C48" s="3417" t="s">
        <v>350</v>
      </c>
      <c r="D48" s="3417"/>
      <c r="E48" s="3417"/>
      <c r="F48" s="381"/>
      <c r="G48" s="398"/>
      <c r="H48" s="426"/>
      <c r="I48" s="2788"/>
      <c r="J48" s="382"/>
      <c r="K48" s="387"/>
      <c r="L48" s="369"/>
      <c r="M48" s="369"/>
      <c r="N48" s="361"/>
    </row>
    <row r="49" spans="1:14">
      <c r="A49" s="369"/>
      <c r="B49" s="2789"/>
      <c r="C49" s="3417" t="s">
        <v>350</v>
      </c>
      <c r="D49" s="3417"/>
      <c r="E49" s="3417"/>
      <c r="F49" s="381"/>
      <c r="G49" s="398"/>
      <c r="H49" s="426"/>
      <c r="I49" s="2788"/>
      <c r="J49" s="382"/>
      <c r="K49" s="387"/>
      <c r="L49" s="369"/>
      <c r="M49" s="369"/>
      <c r="N49" s="361"/>
    </row>
    <row r="50" spans="1:14">
      <c r="A50" s="369"/>
      <c r="B50" s="2789"/>
      <c r="C50" s="3417" t="s">
        <v>350</v>
      </c>
      <c r="D50" s="3417"/>
      <c r="E50" s="3417"/>
      <c r="F50" s="381"/>
      <c r="G50" s="398"/>
      <c r="H50" s="426"/>
      <c r="I50" s="2788"/>
      <c r="J50" s="382"/>
      <c r="K50" s="387"/>
      <c r="L50" s="369"/>
      <c r="M50" s="369"/>
      <c r="N50" s="361"/>
    </row>
    <row r="51" spans="1:14" ht="4.5" customHeight="1">
      <c r="A51" s="369"/>
      <c r="B51" s="2641"/>
      <c r="C51" s="428"/>
      <c r="D51" s="428"/>
      <c r="E51" s="428"/>
      <c r="F51" s="429"/>
      <c r="G51" s="430"/>
      <c r="H51" s="431"/>
      <c r="I51" s="429"/>
      <c r="J51" s="429"/>
      <c r="K51" s="432"/>
      <c r="L51" s="369"/>
      <c r="M51" s="369"/>
      <c r="N51" s="361"/>
    </row>
    <row r="52" spans="1:14">
      <c r="A52" s="369"/>
      <c r="B52" s="433"/>
      <c r="C52" s="433"/>
      <c r="D52" s="433"/>
      <c r="E52" s="433"/>
      <c r="F52" s="369"/>
      <c r="G52" s="434"/>
      <c r="H52" s="435"/>
      <c r="I52" s="434"/>
      <c r="J52" s="434"/>
      <c r="K52" s="434"/>
      <c r="L52" s="369"/>
      <c r="M52" s="369"/>
      <c r="N52" s="361"/>
    </row>
    <row r="53" spans="1:14">
      <c r="A53" s="369"/>
      <c r="B53" s="433"/>
      <c r="C53" s="433"/>
      <c r="D53" s="433"/>
      <c r="E53" s="433"/>
      <c r="F53" s="369"/>
      <c r="G53" s="434"/>
      <c r="H53" s="435"/>
      <c r="I53" s="434"/>
      <c r="J53" s="434"/>
      <c r="K53" s="434"/>
      <c r="L53" s="369"/>
      <c r="M53" s="369"/>
      <c r="N53" s="361"/>
    </row>
    <row r="54" spans="1:14" ht="13.8" thickBot="1">
      <c r="A54" s="436"/>
      <c r="B54" s="433"/>
      <c r="C54" s="433"/>
      <c r="D54" s="433"/>
      <c r="E54" s="433"/>
      <c r="F54" s="369"/>
      <c r="G54" s="434"/>
      <c r="H54" s="435"/>
      <c r="I54" s="434"/>
      <c r="J54" s="434"/>
      <c r="K54" s="434"/>
      <c r="L54" s="369"/>
      <c r="M54" s="369"/>
      <c r="N54" s="361"/>
    </row>
    <row r="55" spans="1:14" ht="13.8" thickTop="1">
      <c r="B55" s="437"/>
      <c r="C55" s="437"/>
      <c r="D55" s="437"/>
      <c r="E55" s="437"/>
      <c r="F55" s="437"/>
      <c r="G55" s="438"/>
      <c r="H55" s="439"/>
      <c r="I55" s="438"/>
      <c r="J55" s="438"/>
      <c r="K55" s="437"/>
      <c r="L55" s="437"/>
      <c r="M55" s="437"/>
    </row>
    <row r="56" spans="1:14">
      <c r="G56" s="440"/>
      <c r="I56" s="440"/>
      <c r="J56" s="440"/>
    </row>
    <row r="57" spans="1:14">
      <c r="G57" s="440"/>
      <c r="I57" s="440"/>
      <c r="J57" s="440"/>
    </row>
    <row r="58" spans="1:14">
      <c r="G58" s="440"/>
      <c r="I58" s="440"/>
      <c r="J58" s="440"/>
    </row>
    <row r="59" spans="1:14">
      <c r="G59" s="440"/>
      <c r="I59" s="440"/>
      <c r="J59" s="440"/>
    </row>
    <row r="60" spans="1:14">
      <c r="G60" s="440"/>
      <c r="I60" s="440"/>
      <c r="J60" s="440"/>
    </row>
    <row r="61" spans="1:14">
      <c r="G61" s="440"/>
      <c r="I61" s="440"/>
      <c r="J61" s="440"/>
    </row>
    <row r="62" spans="1:14">
      <c r="G62" s="440"/>
      <c r="I62" s="440"/>
      <c r="J62" s="440"/>
    </row>
    <row r="63" spans="1:14">
      <c r="G63" s="440"/>
      <c r="I63" s="440"/>
      <c r="J63" s="440"/>
    </row>
    <row r="64" spans="1:14">
      <c r="G64" s="440"/>
      <c r="I64" s="440"/>
      <c r="J64" s="440"/>
    </row>
    <row r="65" spans="7:10">
      <c r="G65" s="440"/>
      <c r="I65" s="440"/>
      <c r="J65" s="440"/>
    </row>
    <row r="66" spans="7:10">
      <c r="G66" s="440"/>
      <c r="I66" s="440"/>
      <c r="J66" s="440"/>
    </row>
    <row r="67" spans="7:10">
      <c r="G67" s="440"/>
      <c r="I67" s="440"/>
      <c r="J67" s="440"/>
    </row>
    <row r="68" spans="7:10">
      <c r="G68" s="440"/>
      <c r="I68" s="440"/>
      <c r="J68" s="440"/>
    </row>
    <row r="69" spans="7:10">
      <c r="G69" s="440"/>
      <c r="I69" s="440"/>
      <c r="J69" s="440"/>
    </row>
    <row r="70" spans="7:10">
      <c r="G70" s="440"/>
      <c r="I70" s="440"/>
      <c r="J70" s="440"/>
    </row>
    <row r="71" spans="7:10">
      <c r="G71" s="440"/>
      <c r="I71" s="440"/>
      <c r="J71" s="440"/>
    </row>
    <row r="72" spans="7:10">
      <c r="G72" s="440"/>
      <c r="I72" s="440"/>
      <c r="J72" s="440"/>
    </row>
    <row r="73" spans="7:10">
      <c r="G73" s="440"/>
      <c r="I73" s="440"/>
      <c r="J73" s="440"/>
    </row>
    <row r="74" spans="7:10">
      <c r="G74" s="440"/>
      <c r="I74" s="440"/>
      <c r="J74" s="440"/>
    </row>
    <row r="75" spans="7:10">
      <c r="G75" s="440"/>
      <c r="I75" s="440"/>
      <c r="J75" s="440"/>
    </row>
    <row r="76" spans="7:10">
      <c r="G76" s="440"/>
      <c r="I76" s="440"/>
      <c r="J76" s="440"/>
    </row>
    <row r="77" spans="7:10">
      <c r="G77" s="440"/>
      <c r="I77" s="440"/>
      <c r="J77" s="440"/>
    </row>
    <row r="78" spans="7:10">
      <c r="G78" s="440"/>
      <c r="I78" s="440"/>
      <c r="J78" s="440"/>
    </row>
    <row r="79" spans="7:10">
      <c r="G79" s="440"/>
      <c r="I79" s="440"/>
      <c r="J79" s="440"/>
    </row>
    <row r="80" spans="7:10">
      <c r="G80" s="440"/>
      <c r="I80" s="440"/>
      <c r="J80" s="440"/>
    </row>
    <row r="81" spans="7:10">
      <c r="G81" s="440"/>
      <c r="I81" s="440"/>
      <c r="J81" s="440"/>
    </row>
    <row r="82" spans="7:10">
      <c r="G82" s="440"/>
      <c r="I82" s="440"/>
      <c r="J82" s="440"/>
    </row>
    <row r="83" spans="7:10">
      <c r="G83" s="440"/>
      <c r="I83" s="440"/>
      <c r="J83" s="440"/>
    </row>
    <row r="84" spans="7:10">
      <c r="G84" s="440"/>
      <c r="I84" s="440"/>
      <c r="J84" s="440"/>
    </row>
    <row r="85" spans="7:10">
      <c r="G85" s="440"/>
      <c r="I85" s="440"/>
      <c r="J85" s="440"/>
    </row>
    <row r="86" spans="7:10">
      <c r="G86" s="440"/>
      <c r="I86" s="440"/>
      <c r="J86" s="440"/>
    </row>
    <row r="87" spans="7:10">
      <c r="G87" s="440"/>
      <c r="I87" s="440"/>
      <c r="J87" s="440"/>
    </row>
    <row r="88" spans="7:10">
      <c r="G88" s="440"/>
      <c r="I88" s="440"/>
      <c r="J88" s="440"/>
    </row>
    <row r="89" spans="7:10">
      <c r="G89" s="440"/>
      <c r="I89" s="440"/>
      <c r="J89" s="440"/>
    </row>
    <row r="90" spans="7:10">
      <c r="G90" s="440"/>
      <c r="I90" s="440"/>
      <c r="J90" s="440"/>
    </row>
    <row r="91" spans="7:10">
      <c r="G91" s="440"/>
      <c r="I91" s="440"/>
      <c r="J91" s="440"/>
    </row>
    <row r="92" spans="7:10">
      <c r="G92" s="440"/>
      <c r="I92" s="440"/>
      <c r="J92" s="440"/>
    </row>
    <row r="93" spans="7:10">
      <c r="G93" s="440"/>
      <c r="I93" s="440"/>
      <c r="J93" s="440"/>
    </row>
    <row r="94" spans="7:10">
      <c r="G94" s="440"/>
      <c r="I94" s="440"/>
      <c r="J94" s="440"/>
    </row>
    <row r="95" spans="7:10">
      <c r="G95" s="440"/>
      <c r="I95" s="440"/>
      <c r="J95" s="440"/>
    </row>
    <row r="96" spans="7:10">
      <c r="G96" s="440"/>
      <c r="I96" s="440"/>
      <c r="J96" s="440"/>
    </row>
    <row r="97" spans="2:10">
      <c r="G97" s="440"/>
      <c r="I97" s="440"/>
      <c r="J97" s="440"/>
    </row>
    <row r="98" spans="2:10" ht="15.6">
      <c r="C98" s="3423" t="str">
        <f>G2</f>
        <v>עירית הרצליה</v>
      </c>
      <c r="D98" s="3424"/>
      <c r="E98" s="3424"/>
      <c r="F98" s="3424"/>
      <c r="G98" s="3424"/>
      <c r="H98" s="3424"/>
      <c r="I98" s="3424"/>
      <c r="J98" s="440"/>
    </row>
    <row r="99" spans="2:10" ht="15.6">
      <c r="C99" s="3423" t="str">
        <f>G3</f>
        <v>הדוח הכספי לשנת 2015</v>
      </c>
      <c r="D99" s="3424"/>
      <c r="E99" s="3424"/>
      <c r="F99" s="3424"/>
      <c r="G99" s="3424"/>
      <c r="H99" s="3424"/>
      <c r="I99" s="3424"/>
      <c r="J99" s="440"/>
    </row>
    <row r="100" spans="2:10" ht="15.6">
      <c r="C100" s="3423" t="str">
        <f>F4</f>
        <v>ריכוז התקבולים והתשלומים של התקציב הבלתי רגיל (אלפי ש"ח)</v>
      </c>
      <c r="D100" s="3424"/>
      <c r="E100" s="3424"/>
      <c r="F100" s="3424"/>
      <c r="G100" s="3424"/>
      <c r="H100" s="3424"/>
      <c r="I100" s="3424"/>
      <c r="J100" s="440"/>
    </row>
    <row r="101" spans="2:10">
      <c r="C101" s="442"/>
      <c r="D101" s="442"/>
      <c r="E101" s="442"/>
      <c r="F101" s="442"/>
      <c r="G101" s="443"/>
      <c r="H101" s="444"/>
      <c r="I101" s="443"/>
      <c r="J101" s="440"/>
    </row>
    <row r="102" spans="2:10">
      <c r="C102" s="442"/>
      <c r="D102" s="442"/>
      <c r="E102" s="442"/>
      <c r="F102" s="442"/>
      <c r="G102" s="443"/>
      <c r="H102" s="444"/>
      <c r="I102" s="443"/>
      <c r="J102" s="440"/>
    </row>
    <row r="103" spans="2:10">
      <c r="B103" s="445"/>
      <c r="C103" s="446"/>
      <c r="D103" s="446"/>
      <c r="E103" s="446"/>
      <c r="F103" s="442"/>
      <c r="G103" s="443"/>
      <c r="H103" s="444"/>
      <c r="I103" s="443"/>
      <c r="J103" s="440"/>
    </row>
    <row r="104" spans="2:10" ht="16.5" customHeight="1">
      <c r="B104" s="447">
        <f t="shared" ref="B104:C111" si="0">B7</f>
        <v>0</v>
      </c>
      <c r="C104" s="3421" t="str">
        <f t="shared" si="0"/>
        <v xml:space="preserve"> </v>
      </c>
      <c r="D104" s="3422"/>
      <c r="E104" s="3422"/>
      <c r="F104" s="448">
        <f t="shared" ref="F104:J111" si="1">F7</f>
        <v>0</v>
      </c>
      <c r="G104" s="2914">
        <f t="shared" si="1"/>
        <v>2015</v>
      </c>
      <c r="H104" s="449">
        <f t="shared" si="1"/>
        <v>0</v>
      </c>
      <c r="I104" s="2914">
        <f t="shared" si="1"/>
        <v>2014</v>
      </c>
      <c r="J104" s="440">
        <f t="shared" si="1"/>
        <v>0</v>
      </c>
    </row>
    <row r="105" spans="2:10">
      <c r="B105" s="154" t="str">
        <f t="shared" si="0"/>
        <v>1.</v>
      </c>
      <c r="C105" s="3420" t="str">
        <f t="shared" si="0"/>
        <v xml:space="preserve">תקבולים ותשלומים בשנת הדוח </v>
      </c>
      <c r="D105" s="3420"/>
      <c r="E105" s="3420"/>
      <c r="F105" s="450">
        <f t="shared" si="1"/>
        <v>0</v>
      </c>
      <c r="G105" s="451">
        <f t="shared" si="1"/>
        <v>0</v>
      </c>
      <c r="H105" s="452">
        <f t="shared" si="1"/>
        <v>0</v>
      </c>
      <c r="I105" s="451">
        <f t="shared" si="1"/>
        <v>0</v>
      </c>
      <c r="J105" s="440">
        <f t="shared" si="1"/>
        <v>0</v>
      </c>
    </row>
    <row r="106" spans="2:10">
      <c r="B106" s="332">
        <f t="shared" si="0"/>
        <v>0</v>
      </c>
      <c r="C106" s="453" t="str">
        <f t="shared" si="0"/>
        <v>א.</v>
      </c>
      <c r="D106" s="3425" t="str">
        <f t="shared" ref="D106:D111" si="2">D9</f>
        <v>תקבולים</v>
      </c>
      <c r="E106" s="3425"/>
      <c r="F106" s="454">
        <f t="shared" si="1"/>
        <v>0</v>
      </c>
      <c r="G106" s="451">
        <f t="shared" si="1"/>
        <v>0</v>
      </c>
      <c r="H106" s="455">
        <f t="shared" si="1"/>
        <v>0</v>
      </c>
      <c r="I106" s="451">
        <f t="shared" si="1"/>
        <v>0</v>
      </c>
      <c r="J106" s="440">
        <f t="shared" si="1"/>
        <v>0</v>
      </c>
    </row>
    <row r="107" spans="2:10">
      <c r="B107" s="332">
        <f t="shared" si="0"/>
        <v>0</v>
      </c>
      <c r="C107" s="332">
        <f t="shared" si="0"/>
        <v>0</v>
      </c>
      <c r="D107" s="332">
        <f t="shared" si="2"/>
        <v>0</v>
      </c>
      <c r="E107" s="332" t="str">
        <f>IF(AND($I10=0,$G10=0),"",$E10)</f>
        <v>השתתפות הממשלה</v>
      </c>
      <c r="F107" s="450">
        <f t="shared" si="1"/>
        <v>0</v>
      </c>
      <c r="G107" s="456">
        <f t="shared" si="1"/>
        <v>22160</v>
      </c>
      <c r="H107" s="457">
        <f t="shared" si="1"/>
        <v>0</v>
      </c>
      <c r="I107" s="456">
        <f t="shared" si="1"/>
        <v>3675</v>
      </c>
      <c r="J107" s="440">
        <f t="shared" si="1"/>
        <v>0</v>
      </c>
    </row>
    <row r="108" spans="2:10">
      <c r="B108" s="332">
        <f t="shared" si="0"/>
        <v>0</v>
      </c>
      <c r="C108" s="332">
        <f t="shared" si="0"/>
        <v>0</v>
      </c>
      <c r="D108" s="332">
        <f t="shared" si="2"/>
        <v>0</v>
      </c>
      <c r="E108" s="332" t="str">
        <f>IF(AND($I11=0,$G11=0),"",$E11)</f>
        <v>השתתפות מוסדות</v>
      </c>
      <c r="F108" s="450">
        <f t="shared" si="1"/>
        <v>0</v>
      </c>
      <c r="G108" s="458">
        <f t="shared" si="1"/>
        <v>17150</v>
      </c>
      <c r="H108" s="457">
        <f t="shared" si="1"/>
        <v>0</v>
      </c>
      <c r="I108" s="458">
        <f t="shared" si="1"/>
        <v>6271</v>
      </c>
      <c r="J108" s="440">
        <f t="shared" si="1"/>
        <v>0</v>
      </c>
    </row>
    <row r="109" spans="2:10">
      <c r="B109" s="332">
        <f t="shared" si="0"/>
        <v>0</v>
      </c>
      <c r="C109" s="332">
        <f t="shared" si="0"/>
        <v>0</v>
      </c>
      <c r="D109" s="332">
        <f t="shared" si="2"/>
        <v>0</v>
      </c>
      <c r="E109" s="332" t="str">
        <f>IF(AND($I12=0,$G12=0),"",$E12)</f>
        <v/>
      </c>
      <c r="F109" s="450">
        <f t="shared" si="1"/>
        <v>0</v>
      </c>
      <c r="G109" s="458">
        <f t="shared" si="1"/>
        <v>0</v>
      </c>
      <c r="H109" s="457">
        <f t="shared" si="1"/>
        <v>0</v>
      </c>
      <c r="I109" s="458">
        <f t="shared" si="1"/>
        <v>0</v>
      </c>
      <c r="J109" s="440">
        <f t="shared" si="1"/>
        <v>0</v>
      </c>
    </row>
    <row r="110" spans="2:10">
      <c r="B110" s="332">
        <f t="shared" si="0"/>
        <v>0</v>
      </c>
      <c r="C110" s="332">
        <f t="shared" si="0"/>
        <v>0</v>
      </c>
      <c r="D110" s="332">
        <f t="shared" si="2"/>
        <v>0</v>
      </c>
      <c r="E110" s="332" t="str">
        <f>IF(AND($I13=0,$G13=0),"",$E13)</f>
        <v>מקורות עצמיים ואחרים</v>
      </c>
      <c r="F110" s="450">
        <f t="shared" si="1"/>
        <v>0</v>
      </c>
      <c r="G110" s="456">
        <f t="shared" si="1"/>
        <v>282120</v>
      </c>
      <c r="H110" s="459">
        <f t="shared" si="1"/>
        <v>0</v>
      </c>
      <c r="I110" s="456">
        <f t="shared" si="1"/>
        <v>229573</v>
      </c>
      <c r="J110" s="440">
        <f t="shared" si="1"/>
        <v>0</v>
      </c>
    </row>
    <row r="111" spans="2:10">
      <c r="B111" s="3216">
        <f t="shared" si="0"/>
        <v>0</v>
      </c>
      <c r="C111" s="3216">
        <f t="shared" si="0"/>
        <v>0</v>
      </c>
      <c r="D111" s="3216">
        <f t="shared" si="2"/>
        <v>0</v>
      </c>
      <c r="E111" s="3216" t="str">
        <f>IF(AND($I14=0,$G14=0),"",$E14)</f>
        <v/>
      </c>
      <c r="F111" s="450">
        <f t="shared" si="1"/>
        <v>0</v>
      </c>
      <c r="G111" s="456">
        <f t="shared" si="1"/>
        <v>0</v>
      </c>
      <c r="H111" s="459">
        <f t="shared" si="1"/>
        <v>0</v>
      </c>
      <c r="I111" s="456">
        <f t="shared" si="1"/>
        <v>0</v>
      </c>
      <c r="J111" s="440">
        <f t="shared" si="1"/>
        <v>0</v>
      </c>
    </row>
    <row r="112" spans="2:10">
      <c r="B112" s="332">
        <f t="shared" ref="B112:C133" si="3">B15</f>
        <v>0</v>
      </c>
      <c r="C112" s="332">
        <f t="shared" si="3"/>
        <v>0</v>
      </c>
      <c r="D112" s="332">
        <f t="shared" ref="D112:D127" si="4">D15</f>
        <v>0</v>
      </c>
      <c r="E112" s="332" t="str">
        <f t="shared" ref="E112:E113" si="5">IF(AND($I15=0,$G15=0),"",$E15)</f>
        <v>מלוות שנתקבלו</v>
      </c>
      <c r="F112" s="450">
        <f t="shared" ref="F112:I124" si="6">F15</f>
        <v>0</v>
      </c>
      <c r="G112" s="458">
        <f t="shared" si="6"/>
        <v>0</v>
      </c>
      <c r="H112" s="457">
        <f t="shared" si="6"/>
        <v>0</v>
      </c>
      <c r="I112" s="458">
        <f t="shared" si="6"/>
        <v>15133</v>
      </c>
      <c r="J112" s="440">
        <f t="shared" ref="J112:J124" si="7">J15</f>
        <v>0</v>
      </c>
    </row>
    <row r="113" spans="2:10">
      <c r="B113" s="332">
        <f t="shared" si="3"/>
        <v>0</v>
      </c>
      <c r="C113" s="332">
        <f t="shared" si="3"/>
        <v>0</v>
      </c>
      <c r="D113" s="332">
        <f t="shared" si="4"/>
        <v>0</v>
      </c>
      <c r="E113" s="332" t="str">
        <f t="shared" si="5"/>
        <v/>
      </c>
      <c r="F113" s="450">
        <f t="shared" si="6"/>
        <v>0</v>
      </c>
      <c r="G113" s="458">
        <f t="shared" si="6"/>
        <v>0</v>
      </c>
      <c r="H113" s="457">
        <f t="shared" si="6"/>
        <v>0</v>
      </c>
      <c r="I113" s="458">
        <f t="shared" si="6"/>
        <v>0</v>
      </c>
      <c r="J113" s="440">
        <f t="shared" si="7"/>
        <v>0</v>
      </c>
    </row>
    <row r="114" spans="2:10">
      <c r="B114" s="332">
        <f t="shared" si="3"/>
        <v>0</v>
      </c>
      <c r="C114" s="332">
        <f t="shared" si="3"/>
        <v>0</v>
      </c>
      <c r="D114" s="332">
        <f t="shared" si="4"/>
        <v>0</v>
      </c>
      <c r="E114" s="332" t="str">
        <f>IF(AND($E17&lt;&gt;"(***)",OR($G17&lt;&gt;0,$I17&lt;&gt;0)),$E17,"")</f>
        <v/>
      </c>
      <c r="F114" s="450">
        <f t="shared" si="6"/>
        <v>0</v>
      </c>
      <c r="G114" s="460">
        <f t="shared" si="6"/>
        <v>0</v>
      </c>
      <c r="H114" s="457">
        <f t="shared" si="6"/>
        <v>0</v>
      </c>
      <c r="I114" s="460">
        <f t="shared" si="6"/>
        <v>0</v>
      </c>
      <c r="J114" s="440">
        <f t="shared" si="7"/>
        <v>0</v>
      </c>
    </row>
    <row r="115" spans="2:10">
      <c r="B115" s="332">
        <f t="shared" si="3"/>
        <v>0</v>
      </c>
      <c r="C115" s="332">
        <f t="shared" si="3"/>
        <v>0</v>
      </c>
      <c r="D115" s="332">
        <f t="shared" si="4"/>
        <v>0</v>
      </c>
      <c r="E115" s="332" t="str">
        <f>IF(AND($I18=0,$G18=0),"",$E18)</f>
        <v>סה"כ תקבולים</v>
      </c>
      <c r="F115" s="450">
        <f t="shared" si="6"/>
        <v>0</v>
      </c>
      <c r="G115" s="461">
        <f t="shared" si="6"/>
        <v>321430</v>
      </c>
      <c r="H115" s="462">
        <f t="shared" si="6"/>
        <v>0</v>
      </c>
      <c r="I115" s="461">
        <f t="shared" si="6"/>
        <v>254652</v>
      </c>
      <c r="J115" s="440">
        <f t="shared" si="7"/>
        <v>0</v>
      </c>
    </row>
    <row r="116" spans="2:10">
      <c r="B116" s="332">
        <f t="shared" si="3"/>
        <v>0</v>
      </c>
      <c r="C116" s="332">
        <f t="shared" si="3"/>
        <v>0</v>
      </c>
      <c r="D116" s="332">
        <f t="shared" si="4"/>
        <v>0</v>
      </c>
      <c r="E116" s="332">
        <f>E19</f>
        <v>0</v>
      </c>
      <c r="F116" s="450">
        <f t="shared" si="6"/>
        <v>0</v>
      </c>
      <c r="G116" s="458">
        <f t="shared" si="6"/>
        <v>0</v>
      </c>
      <c r="H116" s="457">
        <f t="shared" si="6"/>
        <v>0</v>
      </c>
      <c r="I116" s="458">
        <f t="shared" si="6"/>
        <v>0</v>
      </c>
      <c r="J116" s="440">
        <f t="shared" si="7"/>
        <v>0</v>
      </c>
    </row>
    <row r="117" spans="2:10">
      <c r="B117" s="332">
        <f t="shared" si="3"/>
        <v>0</v>
      </c>
      <c r="C117" s="453" t="str">
        <f t="shared" si="3"/>
        <v>ב.</v>
      </c>
      <c r="D117" s="3425" t="str">
        <f t="shared" si="4"/>
        <v>תשלומים</v>
      </c>
      <c r="E117" s="3425"/>
      <c r="F117" s="454">
        <f t="shared" si="6"/>
        <v>0</v>
      </c>
      <c r="G117" s="458">
        <f t="shared" si="6"/>
        <v>0</v>
      </c>
      <c r="H117" s="462">
        <f t="shared" si="6"/>
        <v>0</v>
      </c>
      <c r="I117" s="458">
        <f t="shared" si="6"/>
        <v>0</v>
      </c>
      <c r="J117" s="440">
        <f t="shared" si="7"/>
        <v>0</v>
      </c>
    </row>
    <row r="118" spans="2:10">
      <c r="B118" s="332">
        <f t="shared" si="3"/>
        <v>0</v>
      </c>
      <c r="C118" s="332">
        <f t="shared" si="3"/>
        <v>0</v>
      </c>
      <c r="D118" s="332">
        <f t="shared" si="4"/>
        <v>0</v>
      </c>
      <c r="E118" s="332" t="str">
        <f>IF(AND($I21=0,$G21=0),"",$E21)</f>
        <v>עבודות שבוצעו במשך השנה</v>
      </c>
      <c r="F118" s="450">
        <f t="shared" si="6"/>
        <v>0</v>
      </c>
      <c r="G118" s="456">
        <f t="shared" si="6"/>
        <v>122495</v>
      </c>
      <c r="H118" s="459">
        <f t="shared" si="6"/>
        <v>0</v>
      </c>
      <c r="I118" s="456">
        <f t="shared" si="6"/>
        <v>179283</v>
      </c>
      <c r="J118" s="440">
        <f t="shared" si="7"/>
        <v>0</v>
      </c>
    </row>
    <row r="119" spans="2:10">
      <c r="B119" s="332">
        <f t="shared" si="3"/>
        <v>0</v>
      </c>
      <c r="C119" s="332">
        <f t="shared" si="3"/>
        <v>0</v>
      </c>
      <c r="D119" s="332">
        <f t="shared" si="4"/>
        <v>0</v>
      </c>
      <c r="E119" s="332" t="str">
        <f>IF(AND($I22=0,$G22=0),"",$E22)</f>
        <v>תכנון</v>
      </c>
      <c r="F119" s="450">
        <f t="shared" si="6"/>
        <v>0</v>
      </c>
      <c r="G119" s="458">
        <f t="shared" si="6"/>
        <v>17567</v>
      </c>
      <c r="H119" s="457">
        <f t="shared" si="6"/>
        <v>0</v>
      </c>
      <c r="I119" s="458">
        <f t="shared" si="6"/>
        <v>12962</v>
      </c>
      <c r="J119" s="440">
        <f t="shared" si="7"/>
        <v>0</v>
      </c>
    </row>
    <row r="120" spans="2:10">
      <c r="B120" s="332">
        <f t="shared" si="3"/>
        <v>0</v>
      </c>
      <c r="C120" s="332">
        <f t="shared" si="3"/>
        <v>0</v>
      </c>
      <c r="D120" s="332">
        <f t="shared" si="4"/>
        <v>0</v>
      </c>
      <c r="E120" s="332" t="str">
        <f>IF(AND($I23=0,$G23=0),"",$E23)</f>
        <v/>
      </c>
      <c r="F120" s="450">
        <f t="shared" si="6"/>
        <v>0</v>
      </c>
      <c r="G120" s="458">
        <f t="shared" si="6"/>
        <v>0</v>
      </c>
      <c r="H120" s="457">
        <f t="shared" si="6"/>
        <v>0</v>
      </c>
      <c r="I120" s="458">
        <f t="shared" si="6"/>
        <v>0</v>
      </c>
      <c r="J120" s="440">
        <f t="shared" si="7"/>
        <v>0</v>
      </c>
    </row>
    <row r="121" spans="2:10">
      <c r="B121" s="332">
        <f t="shared" si="3"/>
        <v>0</v>
      </c>
      <c r="C121" s="332">
        <f t="shared" si="3"/>
        <v>0</v>
      </c>
      <c r="D121" s="332">
        <f t="shared" si="4"/>
        <v>0</v>
      </c>
      <c r="E121" s="332" t="str">
        <f>IF(AND($I24=0,$G24=0),"",$E24)</f>
        <v>תשלומים אחרים</v>
      </c>
      <c r="F121" s="450">
        <f t="shared" si="6"/>
        <v>0</v>
      </c>
      <c r="G121" s="458">
        <f t="shared" si="6"/>
        <v>27702</v>
      </c>
      <c r="H121" s="457">
        <f t="shared" si="6"/>
        <v>0</v>
      </c>
      <c r="I121" s="458">
        <f t="shared" si="6"/>
        <v>42277</v>
      </c>
      <c r="J121" s="440">
        <f t="shared" si="7"/>
        <v>0</v>
      </c>
    </row>
    <row r="122" spans="2:10" ht="21.75" customHeight="1">
      <c r="B122" s="332">
        <f t="shared" si="3"/>
        <v>0</v>
      </c>
      <c r="C122" s="332">
        <f t="shared" si="3"/>
        <v>0</v>
      </c>
      <c r="D122" s="332">
        <f t="shared" si="4"/>
        <v>0</v>
      </c>
      <c r="E122" s="2762" t="str">
        <f>IF(AND($I25=0,$G25=0),"",$E25)</f>
        <v>העברת עודפים מתב"רים שהסתיימו לקרנות</v>
      </c>
      <c r="F122" s="450">
        <f t="shared" si="6"/>
        <v>0</v>
      </c>
      <c r="G122" s="458">
        <f t="shared" si="6"/>
        <v>4202</v>
      </c>
      <c r="H122" s="457">
        <f t="shared" si="6"/>
        <v>0</v>
      </c>
      <c r="I122" s="458">
        <f t="shared" si="6"/>
        <v>5987</v>
      </c>
      <c r="J122" s="440">
        <f t="shared" si="7"/>
        <v>0</v>
      </c>
    </row>
    <row r="123" spans="2:10">
      <c r="B123" s="332">
        <f t="shared" si="3"/>
        <v>0</v>
      </c>
      <c r="C123" s="332">
        <f t="shared" si="3"/>
        <v>0</v>
      </c>
      <c r="D123" s="332">
        <f t="shared" si="4"/>
        <v>0</v>
      </c>
      <c r="E123" s="332" t="str">
        <f>IF(AND($E26&lt;&gt;"(***)",OR($G26&lt;&gt;0,$I26&lt;&gt;0)),$E26,"")</f>
        <v/>
      </c>
      <c r="F123" s="450">
        <f t="shared" si="6"/>
        <v>0</v>
      </c>
      <c r="G123" s="460">
        <f t="shared" si="6"/>
        <v>0</v>
      </c>
      <c r="H123" s="457">
        <f t="shared" si="6"/>
        <v>0</v>
      </c>
      <c r="I123" s="460">
        <f t="shared" si="6"/>
        <v>0</v>
      </c>
      <c r="J123" s="440">
        <f t="shared" si="7"/>
        <v>0</v>
      </c>
    </row>
    <row r="124" spans="2:10">
      <c r="B124" s="332">
        <f t="shared" si="3"/>
        <v>0</v>
      </c>
      <c r="C124" s="332">
        <f t="shared" si="3"/>
        <v>0</v>
      </c>
      <c r="D124" s="332">
        <f t="shared" si="4"/>
        <v>0</v>
      </c>
      <c r="E124" s="332" t="str">
        <f>IF(AND($I27=0,$G27=0),"",$E27)</f>
        <v>סה"כ תשלומים</v>
      </c>
      <c r="F124" s="450">
        <f t="shared" si="6"/>
        <v>0</v>
      </c>
      <c r="G124" s="461">
        <f t="shared" si="6"/>
        <v>171966</v>
      </c>
      <c r="H124" s="462">
        <f t="shared" si="6"/>
        <v>0</v>
      </c>
      <c r="I124" s="461">
        <f t="shared" si="6"/>
        <v>240509</v>
      </c>
      <c r="J124" s="440">
        <f t="shared" si="7"/>
        <v>0</v>
      </c>
    </row>
    <row r="125" spans="2:10">
      <c r="B125" s="332">
        <f t="shared" si="3"/>
        <v>0</v>
      </c>
      <c r="C125" s="332">
        <f t="shared" si="3"/>
        <v>0</v>
      </c>
      <c r="D125" s="332">
        <f t="shared" si="4"/>
        <v>0</v>
      </c>
      <c r="E125" s="332">
        <f>E28</f>
        <v>0</v>
      </c>
      <c r="F125" s="450">
        <f t="shared" ref="F125:J144" si="8">F28</f>
        <v>0</v>
      </c>
      <c r="G125" s="460">
        <f t="shared" si="8"/>
        <v>0</v>
      </c>
      <c r="H125" s="457">
        <f t="shared" si="8"/>
        <v>0</v>
      </c>
      <c r="I125" s="460">
        <f t="shared" si="8"/>
        <v>0</v>
      </c>
      <c r="J125" s="440">
        <f t="shared" si="8"/>
        <v>0</v>
      </c>
    </row>
    <row r="126" spans="2:10" ht="13.8" thickBot="1">
      <c r="B126" s="332">
        <f t="shared" si="3"/>
        <v>0</v>
      </c>
      <c r="C126" s="332">
        <f t="shared" si="3"/>
        <v>0</v>
      </c>
      <c r="D126" s="332">
        <f t="shared" si="4"/>
        <v>0</v>
      </c>
      <c r="E126" s="453" t="str">
        <f>IF(AND($I29=0,$G29=0),"",$E29)</f>
        <v>עודף בשנת הדוח</v>
      </c>
      <c r="F126" s="450">
        <f t="shared" si="8"/>
        <v>0</v>
      </c>
      <c r="G126" s="463">
        <f t="shared" si="8"/>
        <v>149464</v>
      </c>
      <c r="H126" s="457">
        <f t="shared" si="8"/>
        <v>0</v>
      </c>
      <c r="I126" s="463">
        <f t="shared" si="8"/>
        <v>14143</v>
      </c>
      <c r="J126" s="440">
        <f t="shared" si="8"/>
        <v>0</v>
      </c>
    </row>
    <row r="127" spans="2:10" ht="13.8" thickTop="1">
      <c r="B127" s="446">
        <f t="shared" si="3"/>
        <v>0</v>
      </c>
      <c r="C127" s="446">
        <f t="shared" si="3"/>
        <v>0</v>
      </c>
      <c r="D127" s="446">
        <f t="shared" si="4"/>
        <v>0</v>
      </c>
      <c r="E127" s="446">
        <f>E30</f>
        <v>0</v>
      </c>
      <c r="F127" s="450">
        <f t="shared" si="8"/>
        <v>0</v>
      </c>
      <c r="G127" s="457">
        <f t="shared" si="8"/>
        <v>0</v>
      </c>
      <c r="H127" s="457">
        <f t="shared" si="8"/>
        <v>0</v>
      </c>
      <c r="I127" s="457">
        <f t="shared" si="8"/>
        <v>0</v>
      </c>
      <c r="J127" s="440">
        <f t="shared" si="8"/>
        <v>0</v>
      </c>
    </row>
    <row r="128" spans="2:10">
      <c r="B128" s="154" t="str">
        <f t="shared" si="3"/>
        <v>2.</v>
      </c>
      <c r="C128" s="3426" t="str">
        <f t="shared" si="3"/>
        <v>תקבולים ותשלומים שנצברו לתחילת השנה</v>
      </c>
      <c r="D128" s="3426"/>
      <c r="E128" s="3426"/>
      <c r="F128" s="448">
        <f t="shared" si="8"/>
        <v>0</v>
      </c>
      <c r="G128" s="464">
        <f t="shared" si="8"/>
        <v>0</v>
      </c>
      <c r="H128" s="168">
        <f t="shared" si="8"/>
        <v>0</v>
      </c>
      <c r="I128" s="464">
        <f t="shared" si="8"/>
        <v>0</v>
      </c>
      <c r="J128" s="440">
        <f t="shared" si="8"/>
        <v>0</v>
      </c>
    </row>
    <row r="129" spans="2:10">
      <c r="B129" s="332">
        <f t="shared" si="3"/>
        <v>0</v>
      </c>
      <c r="C129" s="332">
        <f t="shared" si="3"/>
        <v>0</v>
      </c>
      <c r="D129" s="3418" t="str">
        <f>IF(AND($I32=0,$G32=0),"",$D32)</f>
        <v>תקבולים</v>
      </c>
      <c r="E129" s="3418"/>
      <c r="F129" s="454">
        <f t="shared" si="8"/>
        <v>0</v>
      </c>
      <c r="G129" s="458">
        <f t="shared" si="8"/>
        <v>1464735</v>
      </c>
      <c r="H129" s="462">
        <f t="shared" si="8"/>
        <v>0</v>
      </c>
      <c r="I129" s="458">
        <f t="shared" si="8"/>
        <v>1328092</v>
      </c>
      <c r="J129" s="440">
        <f t="shared" si="8"/>
        <v>0</v>
      </c>
    </row>
    <row r="130" spans="2:10">
      <c r="B130" s="332">
        <f t="shared" si="3"/>
        <v>0</v>
      </c>
      <c r="C130" s="332">
        <f t="shared" si="3"/>
        <v>0</v>
      </c>
      <c r="D130" s="3418" t="str">
        <f>IF(AND($I33=0,$G33=0),"",$D33)</f>
        <v>תשלומים</v>
      </c>
      <c r="E130" s="3418"/>
      <c r="F130" s="454">
        <f t="shared" si="8"/>
        <v>0</v>
      </c>
      <c r="G130" s="460">
        <f t="shared" si="8"/>
        <v>1338077</v>
      </c>
      <c r="H130" s="462">
        <f t="shared" si="8"/>
        <v>0</v>
      </c>
      <c r="I130" s="460">
        <f t="shared" si="8"/>
        <v>1215577</v>
      </c>
      <c r="J130" s="440">
        <f t="shared" si="8"/>
        <v>0</v>
      </c>
    </row>
    <row r="131" spans="2:10" ht="13.8" thickBot="1">
      <c r="B131" s="332">
        <f t="shared" si="3"/>
        <v>0</v>
      </c>
      <c r="C131" s="332">
        <f t="shared" si="3"/>
        <v>0</v>
      </c>
      <c r="D131" s="3418" t="str">
        <f>IF(AND($I34=0,$G34=0),"",$D34)</f>
        <v>יתרות זמניות נטו לתחילת השנה</v>
      </c>
      <c r="E131" s="3418"/>
      <c r="F131" s="450">
        <f t="shared" si="8"/>
        <v>0</v>
      </c>
      <c r="G131" s="465">
        <f t="shared" si="8"/>
        <v>126658</v>
      </c>
      <c r="H131" s="457">
        <f t="shared" si="8"/>
        <v>0</v>
      </c>
      <c r="I131" s="465">
        <f t="shared" si="8"/>
        <v>112515</v>
      </c>
      <c r="J131" s="440">
        <f t="shared" si="8"/>
        <v>0</v>
      </c>
    </row>
    <row r="132" spans="2:10" ht="13.8" thickTop="1">
      <c r="B132" s="466">
        <f t="shared" si="3"/>
        <v>0</v>
      </c>
      <c r="C132" s="466">
        <f t="shared" si="3"/>
        <v>0</v>
      </c>
      <c r="D132" s="466">
        <f>D35</f>
        <v>0</v>
      </c>
      <c r="E132" s="466">
        <f>E35</f>
        <v>0</v>
      </c>
      <c r="F132" s="467">
        <f t="shared" si="8"/>
        <v>0</v>
      </c>
      <c r="G132" s="468">
        <f t="shared" si="8"/>
        <v>0</v>
      </c>
      <c r="H132" s="468">
        <f t="shared" si="8"/>
        <v>0</v>
      </c>
      <c r="I132" s="468">
        <f t="shared" si="8"/>
        <v>0</v>
      </c>
      <c r="J132" s="440">
        <f t="shared" si="8"/>
        <v>0</v>
      </c>
    </row>
    <row r="133" spans="2:10">
      <c r="B133" s="469" t="str">
        <f t="shared" si="3"/>
        <v>3.</v>
      </c>
      <c r="C133" s="3427" t="str">
        <f t="shared" si="3"/>
        <v>תקבולים ותשלומים שנצברו לסוף השנה *</v>
      </c>
      <c r="D133" s="3427"/>
      <c r="E133" s="3427"/>
      <c r="F133" s="470">
        <f t="shared" si="8"/>
        <v>0</v>
      </c>
      <c r="G133" s="464">
        <f t="shared" si="8"/>
        <v>0</v>
      </c>
      <c r="H133" s="471">
        <f t="shared" si="8"/>
        <v>0</v>
      </c>
      <c r="I133" s="464">
        <f t="shared" si="8"/>
        <v>0</v>
      </c>
      <c r="J133" s="440">
        <f t="shared" si="8"/>
        <v>0</v>
      </c>
    </row>
    <row r="134" spans="2:10">
      <c r="B134" s="332">
        <f t="shared" ref="B134:B144" si="9">B37</f>
        <v>0</v>
      </c>
      <c r="C134" s="332">
        <f>IF(AND($I37=0,$G37=0),"",$C37)</f>
        <v>0</v>
      </c>
      <c r="D134" s="3418" t="str">
        <f>IF(AND($I37=0,$G37=0),"",$D37)</f>
        <v>תקבולים</v>
      </c>
      <c r="E134" s="3418"/>
      <c r="F134" s="454">
        <f t="shared" si="8"/>
        <v>0</v>
      </c>
      <c r="G134" s="458">
        <f t="shared" si="8"/>
        <v>1682660</v>
      </c>
      <c r="H134" s="458">
        <f t="shared" si="8"/>
        <v>0</v>
      </c>
      <c r="I134" s="458">
        <f t="shared" si="8"/>
        <v>1464735</v>
      </c>
      <c r="J134" s="440">
        <f t="shared" si="8"/>
        <v>0</v>
      </c>
    </row>
    <row r="135" spans="2:10">
      <c r="B135" s="332">
        <f t="shared" si="9"/>
        <v>0</v>
      </c>
      <c r="C135" s="332">
        <f>IF(AND($I38=0,$G38=0),"",$C38)</f>
        <v>0</v>
      </c>
      <c r="D135" s="3418" t="str">
        <f>IF(AND($I38=0,$G38=0),"",$D38)</f>
        <v>תשלומים</v>
      </c>
      <c r="E135" s="3418"/>
      <c r="F135" s="454">
        <f t="shared" si="8"/>
        <v>0</v>
      </c>
      <c r="G135" s="460">
        <f t="shared" si="8"/>
        <v>1406538</v>
      </c>
      <c r="H135" s="458">
        <f t="shared" si="8"/>
        <v>0</v>
      </c>
      <c r="I135" s="460">
        <f t="shared" si="8"/>
        <v>1338077</v>
      </c>
      <c r="J135" s="440">
        <f t="shared" si="8"/>
        <v>0</v>
      </c>
    </row>
    <row r="136" spans="2:10" ht="13.8" thickBot="1">
      <c r="B136" s="332">
        <f t="shared" si="9"/>
        <v>0</v>
      </c>
      <c r="C136" s="332">
        <f t="shared" ref="C136:C144" si="10">C39</f>
        <v>0</v>
      </c>
      <c r="D136" s="3418" t="str">
        <f>IF(AND($I39=0,$G39=0),"",$D39)</f>
        <v>יתרות זמניות נטו לסוף השנה</v>
      </c>
      <c r="E136" s="3418"/>
      <c r="F136" s="454">
        <f t="shared" si="8"/>
        <v>0</v>
      </c>
      <c r="G136" s="465">
        <f t="shared" si="8"/>
        <v>276122</v>
      </c>
      <c r="H136" s="462">
        <f t="shared" si="8"/>
        <v>0</v>
      </c>
      <c r="I136" s="465">
        <f t="shared" si="8"/>
        <v>126658</v>
      </c>
      <c r="J136" s="440">
        <f t="shared" si="8"/>
        <v>0</v>
      </c>
    </row>
    <row r="137" spans="2:10" ht="13.8" thickTop="1">
      <c r="B137" s="332">
        <f t="shared" si="9"/>
        <v>0</v>
      </c>
      <c r="C137" s="332">
        <f t="shared" si="10"/>
        <v>0</v>
      </c>
      <c r="D137" s="332">
        <f>D40</f>
        <v>0</v>
      </c>
      <c r="E137" s="332">
        <f>E40</f>
        <v>0</v>
      </c>
      <c r="F137" s="450">
        <f t="shared" si="8"/>
        <v>0</v>
      </c>
      <c r="G137" s="458">
        <f t="shared" si="8"/>
        <v>0</v>
      </c>
      <c r="H137" s="457">
        <f t="shared" si="8"/>
        <v>0</v>
      </c>
      <c r="I137" s="458">
        <f t="shared" si="8"/>
        <v>0</v>
      </c>
      <c r="J137" s="440">
        <f t="shared" si="8"/>
        <v>0</v>
      </c>
    </row>
    <row r="138" spans="2:10">
      <c r="B138" s="332">
        <f t="shared" si="9"/>
        <v>0</v>
      </c>
      <c r="C138" s="332">
        <f t="shared" si="10"/>
        <v>0</v>
      </c>
      <c r="D138" s="3419" t="str">
        <f>D41</f>
        <v>היתרה הנ"ל מורכבת:</v>
      </c>
      <c r="E138" s="3419"/>
      <c r="F138" s="454">
        <f t="shared" si="8"/>
        <v>0</v>
      </c>
      <c r="G138" s="458">
        <f t="shared" si="8"/>
        <v>0</v>
      </c>
      <c r="H138" s="462">
        <f t="shared" si="8"/>
        <v>0</v>
      </c>
      <c r="I138" s="458">
        <f t="shared" si="8"/>
        <v>0</v>
      </c>
      <c r="J138" s="440">
        <f t="shared" si="8"/>
        <v>0</v>
      </c>
    </row>
    <row r="139" spans="2:10">
      <c r="B139" s="332">
        <f t="shared" si="9"/>
        <v>0</v>
      </c>
      <c r="C139" s="332">
        <f t="shared" si="10"/>
        <v>0</v>
      </c>
      <c r="D139" s="3418" t="str">
        <f>IF(AND($I42=0,$G42=0),"",$D42)</f>
        <v>עודפי מימון זמניים</v>
      </c>
      <c r="E139" s="3418"/>
      <c r="F139" s="454">
        <f t="shared" si="8"/>
        <v>0</v>
      </c>
      <c r="G139" s="458">
        <f t="shared" si="8"/>
        <v>283185</v>
      </c>
      <c r="H139" s="462">
        <f t="shared" si="8"/>
        <v>0</v>
      </c>
      <c r="I139" s="458">
        <f t="shared" si="8"/>
        <v>140346</v>
      </c>
      <c r="J139" s="440">
        <f t="shared" si="8"/>
        <v>0</v>
      </c>
    </row>
    <row r="140" spans="2:10">
      <c r="B140" s="332">
        <f t="shared" si="9"/>
        <v>0</v>
      </c>
      <c r="C140" s="332">
        <f t="shared" si="10"/>
        <v>0</v>
      </c>
      <c r="D140" s="3418" t="str">
        <f>IF(AND($I43=0,$G43=0),"",$D43)</f>
        <v>גרעונות מימון זמניים</v>
      </c>
      <c r="E140" s="3418"/>
      <c r="F140" s="454">
        <f t="shared" si="8"/>
        <v>0</v>
      </c>
      <c r="G140" s="460">
        <f t="shared" si="8"/>
        <v>7063</v>
      </c>
      <c r="H140" s="462">
        <f t="shared" si="8"/>
        <v>0</v>
      </c>
      <c r="I140" s="460">
        <f t="shared" si="8"/>
        <v>13688</v>
      </c>
      <c r="J140" s="440">
        <f t="shared" si="8"/>
        <v>0</v>
      </c>
    </row>
    <row r="141" spans="2:10" ht="13.8" thickBot="1">
      <c r="B141" s="332">
        <f t="shared" si="9"/>
        <v>0</v>
      </c>
      <c r="C141" s="332">
        <f t="shared" si="10"/>
        <v>0</v>
      </c>
      <c r="D141" s="332">
        <f>D44</f>
        <v>0</v>
      </c>
      <c r="E141" s="332">
        <f>E44</f>
        <v>0</v>
      </c>
      <c r="F141" s="450">
        <f t="shared" si="8"/>
        <v>0</v>
      </c>
      <c r="G141" s="463">
        <f t="shared" si="8"/>
        <v>276122</v>
      </c>
      <c r="H141" s="457">
        <f t="shared" si="8"/>
        <v>0</v>
      </c>
      <c r="I141" s="463">
        <f t="shared" si="8"/>
        <v>126658</v>
      </c>
      <c r="J141" s="440">
        <f t="shared" si="8"/>
        <v>0</v>
      </c>
    </row>
    <row r="142" spans="2:10" ht="13.8" thickTop="1">
      <c r="B142" s="332">
        <f t="shared" si="9"/>
        <v>0</v>
      </c>
      <c r="C142" s="332">
        <f t="shared" si="10"/>
        <v>0</v>
      </c>
      <c r="D142" s="332">
        <f>D45</f>
        <v>0</v>
      </c>
      <c r="E142" s="332">
        <f>E45</f>
        <v>0</v>
      </c>
      <c r="F142" s="450">
        <f t="shared" si="8"/>
        <v>0</v>
      </c>
      <c r="G142" s="458">
        <f t="shared" si="8"/>
        <v>0</v>
      </c>
      <c r="H142" s="457">
        <f t="shared" si="8"/>
        <v>0</v>
      </c>
      <c r="I142" s="458">
        <f t="shared" si="8"/>
        <v>0</v>
      </c>
      <c r="J142" s="440">
        <f t="shared" si="8"/>
        <v>0</v>
      </c>
    </row>
    <row r="143" spans="2:10">
      <c r="B143" s="332">
        <f t="shared" si="9"/>
        <v>0</v>
      </c>
      <c r="C143" s="332" t="str">
        <f t="shared" si="10"/>
        <v>*</v>
      </c>
      <c r="D143" s="3418" t="str">
        <f>D46</f>
        <v>לאחר ניכוי השקעות בפרוייקטים</v>
      </c>
      <c r="E143" s="3418"/>
      <c r="F143" s="450">
        <f t="shared" si="8"/>
        <v>0</v>
      </c>
      <c r="G143" s="458">
        <f t="shared" si="8"/>
        <v>0</v>
      </c>
      <c r="H143" s="457">
        <f t="shared" si="8"/>
        <v>0</v>
      </c>
      <c r="I143" s="458">
        <f t="shared" si="8"/>
        <v>0</v>
      </c>
      <c r="J143" s="440">
        <f t="shared" si="8"/>
        <v>0</v>
      </c>
    </row>
    <row r="144" spans="2:10" ht="13.8" thickBot="1">
      <c r="B144" s="332">
        <f t="shared" si="9"/>
        <v>0</v>
      </c>
      <c r="C144" s="332">
        <f t="shared" si="10"/>
        <v>0</v>
      </c>
      <c r="D144" s="3418" t="str">
        <f>IF(AND($I47=0,$G47=0),"",$D47)</f>
        <v>שנסגרו בשנת הדוח:</v>
      </c>
      <c r="E144" s="3418"/>
      <c r="F144" s="450">
        <f t="shared" si="8"/>
        <v>0</v>
      </c>
      <c r="G144" s="463">
        <f t="shared" si="8"/>
        <v>103505</v>
      </c>
      <c r="H144" s="457">
        <f t="shared" si="8"/>
        <v>0</v>
      </c>
      <c r="I144" s="463">
        <f t="shared" si="8"/>
        <v>118009</v>
      </c>
      <c r="J144" s="440">
        <f t="shared" si="8"/>
        <v>0</v>
      </c>
    </row>
    <row r="145" spans="2:9" ht="13.8" thickTop="1">
      <c r="B145" s="362">
        <f t="shared" ref="B145:E147" si="11">IF(B48&lt;&gt;"(***)",B48,0)</f>
        <v>0</v>
      </c>
      <c r="C145" s="3416">
        <f t="shared" si="11"/>
        <v>0</v>
      </c>
      <c r="D145" s="3416">
        <f t="shared" si="11"/>
        <v>0</v>
      </c>
      <c r="E145" s="3416">
        <f t="shared" si="11"/>
        <v>0</v>
      </c>
      <c r="F145" s="450"/>
      <c r="G145" s="458"/>
      <c r="H145" s="457"/>
      <c r="I145" s="458"/>
    </row>
    <row r="146" spans="2:9">
      <c r="B146" s="362">
        <f t="shared" si="11"/>
        <v>0</v>
      </c>
      <c r="C146" s="3416">
        <f t="shared" si="11"/>
        <v>0</v>
      </c>
      <c r="D146" s="3416">
        <f t="shared" si="11"/>
        <v>0</v>
      </c>
      <c r="E146" s="3416">
        <f t="shared" si="11"/>
        <v>0</v>
      </c>
      <c r="F146" s="450"/>
      <c r="G146" s="458"/>
      <c r="H146" s="457"/>
      <c r="I146" s="458"/>
    </row>
    <row r="147" spans="2:9">
      <c r="B147" s="362">
        <f t="shared" si="11"/>
        <v>0</v>
      </c>
      <c r="C147" s="3416">
        <f t="shared" si="11"/>
        <v>0</v>
      </c>
      <c r="D147" s="3416">
        <f t="shared" si="11"/>
        <v>0</v>
      </c>
      <c r="E147" s="3416">
        <f t="shared" si="11"/>
        <v>0</v>
      </c>
    </row>
  </sheetData>
  <sheetProtection password="83C1" sheet="1" objects="1" scenarios="1"/>
  <mergeCells count="46">
    <mergeCell ref="B1:K1"/>
    <mergeCell ref="G2:M2"/>
    <mergeCell ref="G3:M3"/>
    <mergeCell ref="D43:E43"/>
    <mergeCell ref="C36:E36"/>
    <mergeCell ref="C31:E31"/>
    <mergeCell ref="D32:E32"/>
    <mergeCell ref="D33:E33"/>
    <mergeCell ref="D34:E34"/>
    <mergeCell ref="B5:K5"/>
    <mergeCell ref="D9:E9"/>
    <mergeCell ref="D20:E20"/>
    <mergeCell ref="F4:M4"/>
    <mergeCell ref="D46:E46"/>
    <mergeCell ref="D47:E47"/>
    <mergeCell ref="D37:E37"/>
    <mergeCell ref="D38:E38"/>
    <mergeCell ref="D39:E39"/>
    <mergeCell ref="D41:E41"/>
    <mergeCell ref="D42:E42"/>
    <mergeCell ref="D139:E139"/>
    <mergeCell ref="D143:E143"/>
    <mergeCell ref="D106:E106"/>
    <mergeCell ref="D136:E136"/>
    <mergeCell ref="D129:E129"/>
    <mergeCell ref="D130:E130"/>
    <mergeCell ref="D117:E117"/>
    <mergeCell ref="C128:E128"/>
    <mergeCell ref="D131:E131"/>
    <mergeCell ref="C133:E133"/>
    <mergeCell ref="C145:E145"/>
    <mergeCell ref="C146:E146"/>
    <mergeCell ref="C147:E147"/>
    <mergeCell ref="C48:E48"/>
    <mergeCell ref="C49:E49"/>
    <mergeCell ref="C50:E50"/>
    <mergeCell ref="D140:E140"/>
    <mergeCell ref="D134:E134"/>
    <mergeCell ref="D135:E135"/>
    <mergeCell ref="D138:E138"/>
    <mergeCell ref="C105:E105"/>
    <mergeCell ref="D144:E144"/>
    <mergeCell ref="C104:E104"/>
    <mergeCell ref="C98:I98"/>
    <mergeCell ref="C99:I99"/>
    <mergeCell ref="C100:I100"/>
  </mergeCells>
  <phoneticPr fontId="4" type="noConversion"/>
  <dataValidations count="1">
    <dataValidation type="custom" errorStyle="warning" allowBlank="1" showInputMessage="1" showErrorMessage="1" sqref="G33">
      <formula1>I37</formula1>
    </dataValidation>
  </dataValidations>
  <hyperlinks>
    <hyperlink ref="A6" location="'תוכן הענינים'!A1" tooltip="לחץ להצגת גליון תוכן הענינים" display="הצג תוכן ענינים"/>
  </hyperlinks>
  <printOptions horizontalCentered="1"/>
  <pageMargins left="0" right="0" top="0.75" bottom="0.25" header="0.25" footer="0.25"/>
  <pageSetup paperSize="9" orientation="portrait" blackAndWhite="1" horizontalDpi="300" verticalDpi="300" r:id="rId1"/>
  <headerFooter alignWithMargins="0">
    <oddHeader>&amp;L&amp;8&amp;A</oddHeader>
    <oddFooter>&amp;L &amp;C&amp;8 &amp;P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5">
    <pageSetUpPr autoPageBreaks="0"/>
  </sheetPr>
  <dimension ref="A1:P129"/>
  <sheetViews>
    <sheetView showGridLines="0" showRowColHeaders="0" showZeros="0" rightToLeft="1" showOutlineSymbols="0" zoomScale="85" zoomScaleNormal="90" zoomScaleSheetLayoutView="75" workbookViewId="0">
      <selection activeCell="A6" sqref="A6"/>
    </sheetView>
  </sheetViews>
  <sheetFormatPr defaultColWidth="9.109375" defaultRowHeight="13.2"/>
  <cols>
    <col min="1" max="1" width="12.33203125" style="478" customWidth="1"/>
    <col min="2" max="2" width="36.6640625" style="478" customWidth="1"/>
    <col min="3" max="3" width="6.44140625" style="478" customWidth="1"/>
    <col min="4" max="4" width="3" style="478" customWidth="1"/>
    <col min="5" max="5" width="12.6640625" style="478" customWidth="1"/>
    <col min="6" max="6" width="4.6640625" style="542" customWidth="1"/>
    <col min="7" max="7" width="12.6640625" style="478" customWidth="1"/>
    <col min="8" max="8" width="9.44140625" style="477" customWidth="1"/>
    <col min="9" max="9" width="9.109375" style="477"/>
    <col min="10" max="10" width="19.33203125" style="477" customWidth="1"/>
    <col min="11" max="16" width="9.109375" style="477"/>
    <col min="17" max="16384" width="9.109375" style="478"/>
  </cols>
  <sheetData>
    <row r="1" spans="1:11" ht="3" customHeight="1">
      <c r="A1" s="472"/>
      <c r="B1" s="473"/>
      <c r="C1" s="473"/>
      <c r="D1" s="473"/>
      <c r="E1" s="473"/>
      <c r="F1" s="473"/>
      <c r="G1" s="473"/>
      <c r="H1" s="474"/>
      <c r="I1" s="475"/>
      <c r="J1" s="475"/>
      <c r="K1" s="476"/>
    </row>
    <row r="2" spans="1:11" ht="15.75" customHeight="1">
      <c r="A2" s="473"/>
      <c r="B2" s="473"/>
      <c r="C2" s="3442" t="str">
        <f>'הגדרות כלליות'!D6</f>
        <v>עירית הרצליה</v>
      </c>
      <c r="D2" s="3443"/>
      <c r="E2" s="3443"/>
      <c r="F2" s="3443"/>
      <c r="G2" s="3443"/>
      <c r="H2" s="3443"/>
      <c r="I2" s="3443"/>
      <c r="J2" s="3443"/>
      <c r="K2" s="476"/>
    </row>
    <row r="3" spans="1:11" ht="18" customHeight="1">
      <c r="A3" s="473"/>
      <c r="B3" s="473"/>
      <c r="C3" s="3442" t="s">
        <v>522</v>
      </c>
      <c r="D3" s="3443"/>
      <c r="E3" s="3443"/>
      <c r="F3" s="3443"/>
      <c r="G3" s="3443"/>
      <c r="H3" s="3443"/>
      <c r="I3" s="3443"/>
      <c r="J3" s="3443"/>
      <c r="K3" s="476"/>
    </row>
    <row r="4" spans="1:11" ht="13.5" customHeight="1">
      <c r="A4" s="479"/>
      <c r="B4" s="479"/>
      <c r="C4" s="3444" t="str">
        <f>CONCATENATE("לשנה שנסתיימה ביום 31 בדצמבר ",'הגדרות כלליות'!D10, " (אלפי ש''ח) ")</f>
        <v xml:space="preserve">לשנה שנסתיימה ביום 31 בדצמבר 2015 (אלפי ש''ח) </v>
      </c>
      <c r="D4" s="3444"/>
      <c r="E4" s="3444"/>
      <c r="F4" s="3444"/>
      <c r="G4" s="3444"/>
      <c r="H4" s="3444"/>
      <c r="I4" s="3444"/>
      <c r="J4" s="3444"/>
      <c r="K4" s="480"/>
    </row>
    <row r="5" spans="1:11" ht="7.5" customHeight="1">
      <c r="A5" s="473"/>
      <c r="B5" s="473"/>
      <c r="C5" s="473"/>
      <c r="D5" s="473"/>
      <c r="E5" s="473"/>
      <c r="F5" s="473"/>
      <c r="G5" s="473"/>
      <c r="H5" s="474"/>
      <c r="I5" s="475"/>
      <c r="J5" s="475"/>
      <c r="K5" s="476"/>
    </row>
    <row r="6" spans="1:11" ht="20.25" customHeight="1">
      <c r="A6" s="481" t="s">
        <v>339</v>
      </c>
      <c r="B6" s="482"/>
      <c r="C6" s="482"/>
      <c r="D6" s="482"/>
      <c r="E6" s="482"/>
      <c r="F6" s="482"/>
      <c r="G6" s="482"/>
      <c r="H6" s="483"/>
      <c r="I6" s="483"/>
      <c r="J6" s="483"/>
      <c r="K6" s="476"/>
    </row>
    <row r="7" spans="1:11">
      <c r="A7" s="484"/>
      <c r="B7" s="485"/>
      <c r="C7" s="486" t="s">
        <v>523</v>
      </c>
      <c r="D7" s="486"/>
      <c r="E7" s="486">
        <f>'הגדרות כלליות'!D10</f>
        <v>2015</v>
      </c>
      <c r="F7" s="487"/>
      <c r="G7" s="486">
        <f>'הגדרות כלליות'!D12</f>
        <v>2014</v>
      </c>
      <c r="H7" s="488"/>
      <c r="I7" s="483"/>
      <c r="J7" s="483"/>
      <c r="K7" s="476"/>
    </row>
    <row r="8" spans="1:11" ht="21.75" customHeight="1">
      <c r="A8" s="489"/>
      <c r="B8" s="490" t="s">
        <v>524</v>
      </c>
      <c r="C8" s="491"/>
      <c r="D8" s="491"/>
      <c r="E8" s="491"/>
      <c r="F8" s="491"/>
      <c r="G8" s="491"/>
      <c r="H8" s="492"/>
      <c r="I8" s="483"/>
      <c r="J8" s="483"/>
      <c r="K8" s="476"/>
    </row>
    <row r="9" spans="1:11">
      <c r="A9" s="489"/>
      <c r="B9" s="493" t="s">
        <v>525</v>
      </c>
      <c r="C9" s="2648">
        <f>'נתונים והתאמות לטופס 4'!$D$7</f>
        <v>1</v>
      </c>
      <c r="D9" s="491"/>
      <c r="E9" s="2645">
        <f>'נתונים והתאמות לטופס 4'!$F$15</f>
        <v>823393</v>
      </c>
      <c r="F9" s="494"/>
      <c r="G9" s="2645">
        <f>'נתונים והתאמות לטופס 4'!$H$15</f>
        <v>757532</v>
      </c>
      <c r="H9" s="492"/>
      <c r="I9" s="483"/>
      <c r="J9" s="483"/>
      <c r="K9" s="476"/>
    </row>
    <row r="10" spans="1:11">
      <c r="A10" s="489"/>
      <c r="B10" s="493" t="s">
        <v>526</v>
      </c>
      <c r="C10" s="2649">
        <f>'נתונים והתאמות לטופס 4'!$D$17</f>
        <v>2</v>
      </c>
      <c r="D10" s="491"/>
      <c r="E10" s="2646">
        <f>'נתונים והתאמות לטופס 4'!$F$25</f>
        <v>39310</v>
      </c>
      <c r="F10" s="494"/>
      <c r="G10" s="2646">
        <f>'נתונים והתאמות לטופס 4'!$H$25</f>
        <v>25079</v>
      </c>
      <c r="H10" s="492"/>
      <c r="I10" s="483"/>
      <c r="J10" s="483"/>
      <c r="K10" s="476"/>
    </row>
    <row r="11" spans="1:11">
      <c r="A11" s="489"/>
      <c r="B11" s="493" t="s">
        <v>527</v>
      </c>
      <c r="C11" s="2649">
        <f>'נתונים והתאמות לטופס 4'!D27</f>
        <v>3</v>
      </c>
      <c r="D11" s="491"/>
      <c r="E11" s="2646">
        <f>'נתונים והתאמות לטופס 4'!$F$34</f>
        <v>270287</v>
      </c>
      <c r="F11" s="494"/>
      <c r="G11" s="2646">
        <f>'נתונים והתאמות לטופס 4'!$H$34</f>
        <v>276563</v>
      </c>
      <c r="H11" s="492"/>
      <c r="I11" s="483"/>
      <c r="J11" s="483"/>
      <c r="K11" s="476"/>
    </row>
    <row r="12" spans="1:11">
      <c r="A12" s="489"/>
      <c r="B12" s="495" t="s">
        <v>350</v>
      </c>
      <c r="C12" s="2649">
        <f>'נתונים והתאמות לטופס 4'!D67</f>
        <v>7</v>
      </c>
      <c r="D12" s="491"/>
      <c r="E12" s="2647">
        <f>'נתונים והתאמות לטופס 4'!$F$73</f>
        <v>0</v>
      </c>
      <c r="F12" s="494"/>
      <c r="G12" s="2647">
        <f>'נתונים והתאמות לטופס 4'!$H$73</f>
        <v>0</v>
      </c>
      <c r="H12" s="492"/>
      <c r="I12" s="483"/>
      <c r="J12" s="483"/>
      <c r="K12" s="476"/>
    </row>
    <row r="13" spans="1:11">
      <c r="A13" s="489"/>
      <c r="B13" s="493" t="s">
        <v>528</v>
      </c>
      <c r="C13" s="491"/>
      <c r="D13" s="491"/>
      <c r="E13" s="496">
        <f>SUM(E9:E12)</f>
        <v>1132990</v>
      </c>
      <c r="F13" s="494"/>
      <c r="G13" s="496">
        <f>SUM(G9:G12)</f>
        <v>1059174</v>
      </c>
      <c r="H13" s="492"/>
      <c r="I13" s="483"/>
      <c r="J13" s="483"/>
      <c r="K13" s="476"/>
    </row>
    <row r="14" spans="1:11">
      <c r="A14" s="489"/>
      <c r="B14" s="493"/>
      <c r="C14" s="491"/>
      <c r="D14" s="491"/>
      <c r="E14" s="497"/>
      <c r="F14" s="498"/>
      <c r="G14" s="497"/>
      <c r="H14" s="492"/>
      <c r="I14" s="483"/>
      <c r="J14" s="483"/>
      <c r="K14" s="476"/>
    </row>
    <row r="15" spans="1:11">
      <c r="A15" s="484"/>
      <c r="B15" s="499" t="s">
        <v>529</v>
      </c>
      <c r="C15" s="500"/>
      <c r="D15" s="500"/>
      <c r="E15" s="501"/>
      <c r="F15" s="501"/>
      <c r="G15" s="501"/>
      <c r="H15" s="502"/>
      <c r="I15" s="483"/>
      <c r="J15" s="483"/>
      <c r="K15" s="476"/>
    </row>
    <row r="16" spans="1:11">
      <c r="A16" s="489"/>
      <c r="B16" s="503"/>
      <c r="C16" s="491"/>
      <c r="D16" s="491"/>
      <c r="E16" s="494"/>
      <c r="F16" s="494"/>
      <c r="G16" s="494"/>
      <c r="H16" s="492"/>
      <c r="I16" s="483"/>
      <c r="J16" s="483"/>
      <c r="K16" s="476"/>
    </row>
    <row r="17" spans="1:11">
      <c r="A17" s="489"/>
      <c r="B17" s="503" t="s">
        <v>530</v>
      </c>
      <c r="C17" s="2648">
        <f>'נתונים והתאמות לטופס 4'!D36</f>
        <v>4</v>
      </c>
      <c r="D17" s="491"/>
      <c r="E17" s="2645">
        <f>'נתונים והתאמות לטופס 4'!$F$44</f>
        <v>796607</v>
      </c>
      <c r="F17" s="494"/>
      <c r="G17" s="2645">
        <f>'נתונים והתאמות לטופס 4'!$H$44</f>
        <v>750053</v>
      </c>
      <c r="H17" s="492"/>
      <c r="I17" s="483"/>
      <c r="J17" s="483"/>
      <c r="K17" s="476"/>
    </row>
    <row r="18" spans="1:11">
      <c r="A18" s="489"/>
      <c r="B18" s="503" t="s">
        <v>531</v>
      </c>
      <c r="C18" s="2649">
        <f>'נתונים והתאמות לטופס 4'!D47</f>
        <v>5</v>
      </c>
      <c r="D18" s="491"/>
      <c r="E18" s="2646">
        <f>'נתונים והתאמות לטופס 4'!$F$55</f>
        <v>167764</v>
      </c>
      <c r="F18" s="494"/>
      <c r="G18" s="2646">
        <f>'נתונים והתאמות לטופס 4'!$H$55</f>
        <v>234522</v>
      </c>
      <c r="H18" s="492"/>
      <c r="I18" s="483"/>
      <c r="J18" s="483"/>
      <c r="K18" s="476"/>
    </row>
    <row r="19" spans="1:11">
      <c r="A19" s="489"/>
      <c r="B19" s="503" t="s">
        <v>527</v>
      </c>
      <c r="C19" s="2649">
        <f>'נתונים והתאמות לטופס 4'!D57</f>
        <v>6</v>
      </c>
      <c r="D19" s="491"/>
      <c r="E19" s="2646">
        <f>'נתונים והתאמות לטופס 4'!F65</f>
        <v>17375</v>
      </c>
      <c r="F19" s="494"/>
      <c r="G19" s="2646">
        <f>'נתונים והתאמות לטופס 4'!H65</f>
        <v>41</v>
      </c>
      <c r="H19" s="492"/>
      <c r="I19" s="483"/>
      <c r="J19" s="483"/>
      <c r="K19" s="476"/>
    </row>
    <row r="20" spans="1:11">
      <c r="A20" s="489"/>
      <c r="B20" s="504" t="s">
        <v>350</v>
      </c>
      <c r="C20" s="2649">
        <f>'נתונים והתאמות לטופס 4'!D75</f>
        <v>8</v>
      </c>
      <c r="D20" s="491"/>
      <c r="E20" s="2647">
        <f>'נתונים והתאמות לטופס 4'!$F$81</f>
        <v>0</v>
      </c>
      <c r="F20" s="494"/>
      <c r="G20" s="2647">
        <f>'נתונים והתאמות לטופס 4'!$H$81</f>
        <v>0</v>
      </c>
      <c r="H20" s="492"/>
      <c r="I20" s="483"/>
      <c r="J20" s="483"/>
      <c r="K20" s="476"/>
    </row>
    <row r="21" spans="1:11">
      <c r="A21" s="489"/>
      <c r="B21" s="503" t="s">
        <v>532</v>
      </c>
      <c r="C21" s="491"/>
      <c r="D21" s="491"/>
      <c r="E21" s="496">
        <f>SUM(E17:E20)</f>
        <v>981746</v>
      </c>
      <c r="F21" s="494"/>
      <c r="G21" s="496">
        <f>SUM(G17:G20)</f>
        <v>984616</v>
      </c>
      <c r="H21" s="492"/>
      <c r="I21" s="483"/>
      <c r="J21" s="483"/>
      <c r="K21" s="476"/>
    </row>
    <row r="22" spans="1:11" ht="9" customHeight="1">
      <c r="A22" s="489"/>
      <c r="B22" s="503"/>
      <c r="C22" s="491"/>
      <c r="D22" s="491"/>
      <c r="E22" s="494"/>
      <c r="F22" s="494"/>
      <c r="G22" s="494"/>
      <c r="H22" s="492"/>
      <c r="I22" s="483"/>
      <c r="J22" s="483"/>
      <c r="K22" s="476"/>
    </row>
    <row r="23" spans="1:11" ht="37.5" customHeight="1" thickBot="1">
      <c r="A23" s="489"/>
      <c r="B23" s="505" t="str">
        <f>IF(OR(AND(E23&gt;0,G23&gt;0),AND(E23&gt;0,G23=0),AND(E23=0,G23&gt;0)),B36,IF(OR(AND(E23&lt;0,G23&lt;0),AND(E23&lt;0,G23=0),AND(E23=0,G23&lt;0)),B37,IF(E23&gt;0,B38,B39)))</f>
        <v>עודף הכנסות על הוצאות בשנת התקציב</v>
      </c>
      <c r="C23" s="491"/>
      <c r="D23" s="491"/>
      <c r="E23" s="506">
        <f>E13-E21</f>
        <v>151244</v>
      </c>
      <c r="F23" s="494"/>
      <c r="G23" s="506">
        <f>G13-G21</f>
        <v>74558</v>
      </c>
      <c r="H23" s="492"/>
      <c r="I23" s="483"/>
      <c r="J23" s="483"/>
      <c r="K23" s="476"/>
    </row>
    <row r="24" spans="1:11" ht="13.8" thickTop="1">
      <c r="A24" s="489"/>
      <c r="B24" s="507"/>
      <c r="C24" s="508"/>
      <c r="D24" s="508"/>
      <c r="E24" s="509"/>
      <c r="F24" s="509"/>
      <c r="G24" s="509"/>
      <c r="H24" s="510"/>
      <c r="I24" s="483"/>
      <c r="J24" s="483"/>
      <c r="K24" s="476"/>
    </row>
    <row r="25" spans="1:11">
      <c r="A25" s="489"/>
      <c r="B25" s="499" t="s">
        <v>533</v>
      </c>
      <c r="C25" s="500"/>
      <c r="D25" s="500"/>
      <c r="E25" s="501"/>
      <c r="F25" s="501"/>
      <c r="G25" s="501"/>
      <c r="H25" s="502"/>
      <c r="I25" s="483"/>
      <c r="J25" s="483"/>
      <c r="K25" s="476"/>
    </row>
    <row r="26" spans="1:11">
      <c r="A26" s="489"/>
      <c r="B26" s="505"/>
      <c r="C26" s="511"/>
      <c r="D26" s="511"/>
      <c r="E26" s="494"/>
      <c r="F26" s="494"/>
      <c r="G26" s="512"/>
      <c r="H26" s="492"/>
      <c r="I26" s="483"/>
      <c r="J26" s="483"/>
      <c r="K26" s="476"/>
    </row>
    <row r="27" spans="1:11">
      <c r="A27" s="489"/>
      <c r="B27" s="503" t="str">
        <f>CONCATENATE('טופס 2'!$B$61, " בתקציב הרגיל")</f>
        <v>עודף בשנת הדוח בתקציב הרגיל</v>
      </c>
      <c r="C27" s="513"/>
      <c r="D27" s="513"/>
      <c r="E27" s="2645">
        <f>'טופס 2'!G61</f>
        <v>17517</v>
      </c>
      <c r="F27" s="494"/>
      <c r="G27" s="2645">
        <f>'טופס 2'!$I$61</f>
        <v>10642</v>
      </c>
      <c r="H27" s="492"/>
      <c r="I27" s="483"/>
      <c r="J27" s="483"/>
      <c r="K27" s="476"/>
    </row>
    <row r="28" spans="1:11">
      <c r="A28" s="514"/>
      <c r="B28" s="503" t="str">
        <f>CONCATENATE('טופס 3'!$E$29, " בתקציב הבלתי רגיל")</f>
        <v>עודף בשנת הדוח בתקציב הבלתי רגיל</v>
      </c>
      <c r="C28" s="513"/>
      <c r="D28" s="513"/>
      <c r="E28" s="2646">
        <f>'טופס 3'!G29</f>
        <v>149464</v>
      </c>
      <c r="F28" s="494"/>
      <c r="G28" s="2646">
        <f>'טופס 3'!$I$29</f>
        <v>14143</v>
      </c>
      <c r="H28" s="492"/>
      <c r="I28" s="483"/>
      <c r="J28" s="483"/>
      <c r="K28" s="476"/>
    </row>
    <row r="29" spans="1:11">
      <c r="A29" s="514"/>
      <c r="B29" s="503" t="str">
        <f>SUBSTITUTE('נתונים והתאמות לטופס 4'!B83,"התאמה מס':","")</f>
        <v xml:space="preserve">סגירת תב"ר באמצעות הגדלת הגרעון המצטבר </v>
      </c>
      <c r="C29" s="517">
        <f>'נתונים והתאמות לטופס 4'!D83</f>
        <v>9</v>
      </c>
      <c r="D29" s="513"/>
      <c r="E29" s="2647">
        <f>'נתונים והתאמות לטופס 4'!F89</f>
        <v>0</v>
      </c>
      <c r="F29" s="494"/>
      <c r="G29" s="2647">
        <f>'נתונים והתאמות לטופס 4'!H89</f>
        <v>0</v>
      </c>
      <c r="H29" s="492"/>
      <c r="I29" s="483"/>
      <c r="J29" s="483"/>
      <c r="K29" s="476"/>
    </row>
    <row r="30" spans="1:11">
      <c r="A30" s="514"/>
      <c r="B30" s="503"/>
      <c r="C30" s="513"/>
      <c r="D30" s="513"/>
      <c r="E30" s="515">
        <f>E27+E28+E29</f>
        <v>166981</v>
      </c>
      <c r="F30" s="494"/>
      <c r="G30" s="515">
        <f>G27+G28+G29</f>
        <v>24785</v>
      </c>
      <c r="H30" s="492"/>
      <c r="I30" s="483"/>
      <c r="J30" s="483"/>
      <c r="K30" s="476"/>
    </row>
    <row r="31" spans="1:11">
      <c r="A31" s="514"/>
      <c r="B31" s="503"/>
      <c r="C31" s="513"/>
      <c r="D31" s="513"/>
      <c r="E31" s="516"/>
      <c r="F31" s="494"/>
      <c r="G31" s="516"/>
      <c r="H31" s="492"/>
      <c r="I31" s="483"/>
      <c r="J31" s="483"/>
      <c r="K31" s="476"/>
    </row>
    <row r="32" spans="1:11">
      <c r="A32" s="514"/>
      <c r="B32" s="503" t="str">
        <f>IF(OR(AND(E32&gt;0,G32&gt;0),AND(E32&gt;0,G32=0),AND(E32=0,G32&gt;0)),B41,IF(OR(AND(E32&lt;0,G32&lt;0),AND(E32&lt;0,G32=0),AND(E32=0,G32&lt;0)),B42,IF(E32&gt;0,B43,B44)))</f>
        <v>(קיטון) גידול בקרן לעבודות פיתוח</v>
      </c>
      <c r="C32" s="513"/>
      <c r="D32" s="513"/>
      <c r="E32" s="518">
        <f>'טופס 1 פאסיב'!G16-'טופס 1 פאסיב'!I16</f>
        <v>-15737</v>
      </c>
      <c r="F32" s="494"/>
      <c r="G32" s="518">
        <f>'נתונים והתאמות לטופס 4'!$F$99</f>
        <v>49773</v>
      </c>
      <c r="H32" s="492"/>
      <c r="I32" s="483"/>
      <c r="J32" s="483"/>
      <c r="K32" s="476"/>
    </row>
    <row r="33" spans="1:11">
      <c r="A33" s="514"/>
      <c r="B33" s="503"/>
      <c r="C33" s="513"/>
      <c r="D33" s="513"/>
      <c r="E33" s="498"/>
      <c r="F33" s="494"/>
      <c r="G33" s="498"/>
      <c r="H33" s="492"/>
      <c r="I33" s="483"/>
      <c r="J33" s="483"/>
      <c r="K33" s="476"/>
    </row>
    <row r="34" spans="1:11" ht="13.8" thickBot="1">
      <c r="A34" s="514"/>
      <c r="B34" s="503" t="str">
        <f>IF(OR(AND(E34&gt;0,G34&gt;0),AND(E34&gt;0,G34=0),AND(E34=0,G34&gt;0)),B46,IF(OR(AND(E34&lt;0,G34&lt;0),AND(E34&lt;0,G34=0),AND(E34=0,G34&lt;0)),B47,IF(E34&gt;0,B48,B49)))</f>
        <v>עודף כללי</v>
      </c>
      <c r="C34" s="519"/>
      <c r="D34" s="519"/>
      <c r="E34" s="506">
        <f>E30+E32</f>
        <v>151244</v>
      </c>
      <c r="F34" s="520"/>
      <c r="G34" s="506">
        <f>G30+G32</f>
        <v>74558</v>
      </c>
      <c r="H34" s="492"/>
      <c r="I34" s="483"/>
      <c r="J34" s="483"/>
      <c r="K34" s="476"/>
    </row>
    <row r="35" spans="1:11" ht="13.8" hidden="1" thickTop="1">
      <c r="A35" s="514"/>
      <c r="B35" s="503" t="s">
        <v>534</v>
      </c>
      <c r="C35" s="521"/>
      <c r="D35" s="513"/>
      <c r="E35" s="521"/>
      <c r="F35" s="522"/>
      <c r="G35" s="521"/>
      <c r="H35" s="523"/>
      <c r="I35" s="483"/>
      <c r="J35" s="483"/>
      <c r="K35" s="476"/>
    </row>
    <row r="36" spans="1:11" s="179" customFormat="1" ht="13.8" hidden="1" thickTop="1">
      <c r="A36" s="195"/>
      <c r="B36" s="524" t="s">
        <v>535</v>
      </c>
      <c r="C36" s="525"/>
      <c r="D36" s="252"/>
      <c r="E36" s="525"/>
      <c r="F36" s="526"/>
      <c r="G36" s="525"/>
      <c r="H36" s="527"/>
      <c r="I36" s="195"/>
      <c r="J36" s="195"/>
      <c r="K36" s="178"/>
    </row>
    <row r="37" spans="1:11" s="179" customFormat="1" ht="13.8" hidden="1" thickTop="1">
      <c r="A37" s="195"/>
      <c r="B37" s="524" t="s">
        <v>536</v>
      </c>
      <c r="C37" s="525"/>
      <c r="D37" s="252"/>
      <c r="E37" s="525"/>
      <c r="F37" s="526"/>
      <c r="G37" s="525"/>
      <c r="H37" s="527"/>
      <c r="I37" s="195"/>
      <c r="J37" s="195"/>
      <c r="K37" s="178"/>
    </row>
    <row r="38" spans="1:11" ht="13.8" hidden="1" thickTop="1">
      <c r="A38" s="514"/>
      <c r="B38" s="524" t="s">
        <v>537</v>
      </c>
      <c r="C38" s="528"/>
      <c r="D38" s="491"/>
      <c r="E38" s="529"/>
      <c r="F38" s="530"/>
      <c r="G38" s="529"/>
      <c r="H38" s="523"/>
      <c r="I38" s="483"/>
      <c r="J38" s="483"/>
      <c r="K38" s="476"/>
    </row>
    <row r="39" spans="1:11" ht="13.8" hidden="1" thickTop="1">
      <c r="A39" s="514"/>
      <c r="B39" s="524" t="s">
        <v>538</v>
      </c>
      <c r="C39" s="528"/>
      <c r="D39" s="491"/>
      <c r="E39" s="529"/>
      <c r="F39" s="530"/>
      <c r="G39" s="529"/>
      <c r="H39" s="523"/>
      <c r="I39" s="483"/>
      <c r="J39" s="483"/>
      <c r="K39" s="476"/>
    </row>
    <row r="40" spans="1:11" ht="13.8" hidden="1" thickTop="1">
      <c r="A40" s="514"/>
      <c r="B40" s="503"/>
      <c r="C40" s="528"/>
      <c r="D40" s="491"/>
      <c r="E40" s="529"/>
      <c r="F40" s="530"/>
      <c r="G40" s="529"/>
      <c r="H40" s="523"/>
      <c r="I40" s="483"/>
      <c r="J40" s="483"/>
      <c r="K40" s="476"/>
    </row>
    <row r="41" spans="1:11" ht="13.8" hidden="1" thickTop="1">
      <c r="A41" s="514"/>
      <c r="B41" s="524" t="s">
        <v>539</v>
      </c>
      <c r="C41" s="528"/>
      <c r="D41" s="491"/>
      <c r="E41" s="529"/>
      <c r="F41" s="530"/>
      <c r="G41" s="529"/>
      <c r="H41" s="523"/>
      <c r="I41" s="483"/>
      <c r="J41" s="483"/>
      <c r="K41" s="476"/>
    </row>
    <row r="42" spans="1:11" ht="13.8" hidden="1" thickTop="1">
      <c r="A42" s="514"/>
      <c r="B42" s="524" t="s">
        <v>540</v>
      </c>
      <c r="C42" s="528"/>
      <c r="D42" s="491"/>
      <c r="E42" s="529"/>
      <c r="F42" s="530"/>
      <c r="G42" s="529"/>
      <c r="H42" s="523"/>
      <c r="I42" s="483"/>
      <c r="J42" s="483"/>
      <c r="K42" s="476"/>
    </row>
    <row r="43" spans="1:11" ht="13.8" hidden="1" thickTop="1">
      <c r="A43" s="514"/>
      <c r="B43" s="524" t="s">
        <v>541</v>
      </c>
      <c r="C43" s="521"/>
      <c r="D43" s="513"/>
      <c r="E43" s="529"/>
      <c r="F43" s="531"/>
      <c r="G43" s="529"/>
      <c r="H43" s="523"/>
      <c r="I43" s="483"/>
      <c r="J43" s="483"/>
      <c r="K43" s="476"/>
    </row>
    <row r="44" spans="1:11" ht="13.8" hidden="1" thickTop="1">
      <c r="A44" s="514"/>
      <c r="B44" s="524" t="s">
        <v>542</v>
      </c>
      <c r="C44" s="521"/>
      <c r="D44" s="513"/>
      <c r="E44" s="532"/>
      <c r="F44" s="533"/>
      <c r="G44" s="532"/>
      <c r="H44" s="523"/>
      <c r="I44" s="483"/>
      <c r="J44" s="483"/>
      <c r="K44" s="476"/>
    </row>
    <row r="45" spans="1:11" ht="13.8" hidden="1" thickTop="1">
      <c r="A45" s="514"/>
      <c r="B45" s="503"/>
      <c r="C45" s="528"/>
      <c r="D45" s="491"/>
      <c r="E45" s="529"/>
      <c r="F45" s="511"/>
      <c r="G45" s="529"/>
      <c r="H45" s="523"/>
      <c r="I45" s="483"/>
      <c r="J45" s="483"/>
      <c r="K45" s="476"/>
    </row>
    <row r="46" spans="1:11" ht="13.8" hidden="1" thickTop="1">
      <c r="A46" s="514"/>
      <c r="B46" s="503" t="s">
        <v>543</v>
      </c>
      <c r="C46" s="528"/>
      <c r="D46" s="491"/>
      <c r="E46" s="528"/>
      <c r="F46" s="511"/>
      <c r="G46" s="528"/>
      <c r="H46" s="523"/>
      <c r="I46" s="483"/>
      <c r="J46" s="483"/>
      <c r="K46" s="476"/>
    </row>
    <row r="47" spans="1:11" ht="13.8" hidden="1" thickTop="1">
      <c r="A47" s="514"/>
      <c r="B47" s="503" t="s">
        <v>544</v>
      </c>
      <c r="C47" s="528"/>
      <c r="D47" s="491"/>
      <c r="E47" s="528"/>
      <c r="F47" s="511"/>
      <c r="G47" s="528"/>
      <c r="H47" s="523"/>
      <c r="I47" s="483"/>
      <c r="J47" s="483"/>
      <c r="K47" s="476"/>
    </row>
    <row r="48" spans="1:11" ht="13.8" hidden="1" thickTop="1">
      <c r="A48" s="514"/>
      <c r="B48" s="503" t="s">
        <v>545</v>
      </c>
      <c r="C48" s="528"/>
      <c r="D48" s="491"/>
      <c r="E48" s="528"/>
      <c r="F48" s="511"/>
      <c r="G48" s="528"/>
      <c r="H48" s="523"/>
      <c r="I48" s="483"/>
      <c r="J48" s="483"/>
      <c r="K48" s="476"/>
    </row>
    <row r="49" spans="1:11" ht="13.8" hidden="1" thickTop="1">
      <c r="A49" s="514"/>
      <c r="B49" s="503" t="s">
        <v>534</v>
      </c>
      <c r="C49" s="528"/>
      <c r="D49" s="491"/>
      <c r="E49" s="528"/>
      <c r="F49" s="511"/>
      <c r="G49" s="528"/>
      <c r="H49" s="523"/>
      <c r="I49" s="483"/>
      <c r="J49" s="483"/>
      <c r="K49" s="476"/>
    </row>
    <row r="50" spans="1:11" ht="13.8" thickTop="1">
      <c r="A50" s="514"/>
      <c r="B50" s="534"/>
      <c r="C50" s="535"/>
      <c r="D50" s="535"/>
      <c r="E50" s="535"/>
      <c r="F50" s="536"/>
      <c r="G50" s="535"/>
      <c r="H50" s="537"/>
      <c r="I50" s="483"/>
      <c r="J50" s="483"/>
      <c r="K50" s="476"/>
    </row>
    <row r="51" spans="1:11" ht="13.8" thickBot="1">
      <c r="A51" s="514"/>
      <c r="B51" s="514"/>
      <c r="C51" s="514"/>
      <c r="D51" s="514"/>
      <c r="E51" s="514"/>
      <c r="F51" s="538"/>
      <c r="G51" s="514"/>
      <c r="H51" s="483"/>
      <c r="I51" s="483"/>
      <c r="J51" s="483"/>
      <c r="K51" s="476"/>
    </row>
    <row r="52" spans="1:11" ht="13.8" thickTop="1">
      <c r="A52" s="539"/>
      <c r="B52" s="539"/>
      <c r="C52" s="539"/>
      <c r="D52" s="539"/>
      <c r="E52" s="539"/>
      <c r="F52" s="540"/>
      <c r="G52" s="539"/>
      <c r="H52" s="541"/>
      <c r="I52" s="541"/>
      <c r="J52" s="541"/>
    </row>
    <row r="57" spans="1:11" ht="12" customHeight="1"/>
    <row r="96" spans="2:7" ht="15.6">
      <c r="B96" s="3441" t="str">
        <f>C2</f>
        <v>עירית הרצליה</v>
      </c>
      <c r="C96" s="3441"/>
      <c r="D96" s="3441"/>
      <c r="E96" s="3441"/>
      <c r="F96" s="3441"/>
      <c r="G96" s="3441"/>
    </row>
    <row r="97" spans="2:8" ht="15.6">
      <c r="B97" s="3441" t="str">
        <f>C3</f>
        <v>ריכוז תקבולים ותשלומים בתקציב הרגיל, הבלתי רגיל ובקרן לעבודות פיתוח</v>
      </c>
      <c r="C97" s="3441"/>
      <c r="D97" s="3441"/>
      <c r="E97" s="3441"/>
      <c r="F97" s="3441"/>
      <c r="G97" s="3441"/>
    </row>
    <row r="98" spans="2:8" ht="15.6">
      <c r="B98" s="3441" t="str">
        <f>C4</f>
        <v xml:space="preserve">לשנה שנסתיימה ביום 31 בדצמבר 2015 (אלפי ש''ח) </v>
      </c>
      <c r="C98" s="3441"/>
      <c r="D98" s="3441"/>
      <c r="E98" s="3441"/>
      <c r="F98" s="3441"/>
      <c r="G98" s="3441"/>
    </row>
    <row r="101" spans="2:8">
      <c r="B101" s="543">
        <f t="shared" ref="B101:H102" si="0">B7</f>
        <v>0</v>
      </c>
      <c r="C101" s="543" t="str">
        <f t="shared" si="0"/>
        <v>התאמה</v>
      </c>
      <c r="D101" s="543">
        <f t="shared" si="0"/>
        <v>0</v>
      </c>
      <c r="E101" s="544">
        <f t="shared" si="0"/>
        <v>2015</v>
      </c>
      <c r="F101" s="545">
        <f t="shared" si="0"/>
        <v>0</v>
      </c>
      <c r="G101" s="544">
        <f t="shared" si="0"/>
        <v>2014</v>
      </c>
      <c r="H101" s="546">
        <f t="shared" si="0"/>
        <v>0</v>
      </c>
    </row>
    <row r="102" spans="2:8" ht="19.5" customHeight="1">
      <c r="B102" s="547" t="str">
        <f t="shared" si="0"/>
        <v>הכנסות</v>
      </c>
      <c r="C102" s="548">
        <f t="shared" si="0"/>
        <v>0</v>
      </c>
      <c r="D102" s="548">
        <f t="shared" si="0"/>
        <v>0</v>
      </c>
      <c r="E102" s="548">
        <f t="shared" si="0"/>
        <v>0</v>
      </c>
      <c r="F102" s="545">
        <f t="shared" si="0"/>
        <v>0</v>
      </c>
      <c r="G102" s="548">
        <f t="shared" si="0"/>
        <v>0</v>
      </c>
      <c r="H102" s="546">
        <f t="shared" si="0"/>
        <v>0</v>
      </c>
    </row>
    <row r="103" spans="2:8">
      <c r="B103" s="549" t="str">
        <f>IF(AND($E9=0,$G9=0),"",$B9)</f>
        <v xml:space="preserve">מתקציב רגיל  </v>
      </c>
      <c r="C103" s="548">
        <f>IF(AND($E9=0,$G9=0),"",$C9)</f>
        <v>1</v>
      </c>
      <c r="D103" s="548">
        <f t="shared" ref="D103:H112" si="1">D9</f>
        <v>0</v>
      </c>
      <c r="E103" s="550">
        <f t="shared" si="1"/>
        <v>823393</v>
      </c>
      <c r="F103" s="551">
        <f t="shared" si="1"/>
        <v>0</v>
      </c>
      <c r="G103" s="550">
        <f t="shared" si="1"/>
        <v>757532</v>
      </c>
      <c r="H103" s="546">
        <f t="shared" si="1"/>
        <v>0</v>
      </c>
    </row>
    <row r="104" spans="2:8">
      <c r="B104" s="549" t="str">
        <f>IF(AND($E10=0,$G10=0),"",$B10)</f>
        <v xml:space="preserve">מתקציב בלתי רגיל </v>
      </c>
      <c r="C104" s="548">
        <f>IF(AND($E10=0,$G10=0),"",$C10)</f>
        <v>2</v>
      </c>
      <c r="D104" s="548">
        <f t="shared" si="1"/>
        <v>0</v>
      </c>
      <c r="E104" s="550">
        <f t="shared" si="1"/>
        <v>39310</v>
      </c>
      <c r="F104" s="551">
        <f t="shared" si="1"/>
        <v>0</v>
      </c>
      <c r="G104" s="550">
        <f t="shared" si="1"/>
        <v>25079</v>
      </c>
      <c r="H104" s="546">
        <f t="shared" si="1"/>
        <v>0</v>
      </c>
    </row>
    <row r="105" spans="2:8">
      <c r="B105" s="549" t="str">
        <f>IF(AND($E11=0,$G11=0),"",$B11)</f>
        <v>מקרן לעבודות פיתוח</v>
      </c>
      <c r="C105" s="548">
        <f>IF(AND($E11=0,$G11=0),"",$C11)</f>
        <v>3</v>
      </c>
      <c r="D105" s="548">
        <f t="shared" si="1"/>
        <v>0</v>
      </c>
      <c r="E105" s="550">
        <f t="shared" si="1"/>
        <v>270287</v>
      </c>
      <c r="F105" s="551">
        <f t="shared" si="1"/>
        <v>0</v>
      </c>
      <c r="G105" s="550">
        <f t="shared" si="1"/>
        <v>276563</v>
      </c>
      <c r="H105" s="546">
        <f t="shared" si="1"/>
        <v>0</v>
      </c>
    </row>
    <row r="106" spans="2:8">
      <c r="B106" s="549" t="str">
        <f>IF(AND($B12&lt;&gt;"(***)",OR($E12&lt;&gt;0,$G12&lt;&gt;0)),$B12,"")</f>
        <v/>
      </c>
      <c r="C106" s="548" t="str">
        <f>IF(AND($E12=0,$G12=0),"",$C12)</f>
        <v/>
      </c>
      <c r="D106" s="548">
        <f t="shared" si="1"/>
        <v>0</v>
      </c>
      <c r="E106" s="550">
        <f t="shared" si="1"/>
        <v>0</v>
      </c>
      <c r="F106" s="551">
        <f t="shared" si="1"/>
        <v>0</v>
      </c>
      <c r="G106" s="550">
        <f t="shared" si="1"/>
        <v>0</v>
      </c>
      <c r="H106" s="546">
        <f t="shared" si="1"/>
        <v>0</v>
      </c>
    </row>
    <row r="107" spans="2:8">
      <c r="B107" s="549" t="str">
        <f>IF(AND($E13=0,$G13=0),"",$B13)</f>
        <v>סך כל ההכנסות</v>
      </c>
      <c r="C107" s="548">
        <f>C13</f>
        <v>0</v>
      </c>
      <c r="D107" s="548">
        <f t="shared" si="1"/>
        <v>0</v>
      </c>
      <c r="E107" s="552">
        <f t="shared" si="1"/>
        <v>1132990</v>
      </c>
      <c r="F107" s="551">
        <f t="shared" si="1"/>
        <v>0</v>
      </c>
      <c r="G107" s="552">
        <f t="shared" si="1"/>
        <v>1059174</v>
      </c>
      <c r="H107" s="546">
        <f t="shared" si="1"/>
        <v>0</v>
      </c>
    </row>
    <row r="108" spans="2:8">
      <c r="B108" s="549">
        <f>B14</f>
        <v>0</v>
      </c>
      <c r="C108" s="548">
        <f>C14</f>
        <v>0</v>
      </c>
      <c r="D108" s="548">
        <f t="shared" si="1"/>
        <v>0</v>
      </c>
      <c r="E108" s="553">
        <f t="shared" si="1"/>
        <v>0</v>
      </c>
      <c r="F108" s="550">
        <f t="shared" si="1"/>
        <v>0</v>
      </c>
      <c r="G108" s="553">
        <f t="shared" si="1"/>
        <v>0</v>
      </c>
      <c r="H108" s="546">
        <f t="shared" si="1"/>
        <v>0</v>
      </c>
    </row>
    <row r="109" spans="2:8">
      <c r="B109" s="547" t="str">
        <f>B15</f>
        <v>הוצאות</v>
      </c>
      <c r="C109" s="548">
        <f>C15</f>
        <v>0</v>
      </c>
      <c r="D109" s="548">
        <f t="shared" si="1"/>
        <v>0</v>
      </c>
      <c r="E109" s="551">
        <f t="shared" si="1"/>
        <v>0</v>
      </c>
      <c r="F109" s="551">
        <f t="shared" si="1"/>
        <v>0</v>
      </c>
      <c r="G109" s="551">
        <f t="shared" si="1"/>
        <v>0</v>
      </c>
      <c r="H109" s="546">
        <f t="shared" si="1"/>
        <v>0</v>
      </c>
    </row>
    <row r="110" spans="2:8">
      <c r="B110" s="549">
        <f>B16</f>
        <v>0</v>
      </c>
      <c r="C110" s="548">
        <f>C16</f>
        <v>0</v>
      </c>
      <c r="D110" s="548">
        <f t="shared" si="1"/>
        <v>0</v>
      </c>
      <c r="E110" s="551">
        <f t="shared" si="1"/>
        <v>0</v>
      </c>
      <c r="F110" s="551">
        <f t="shared" si="1"/>
        <v>0</v>
      </c>
      <c r="G110" s="551">
        <f t="shared" si="1"/>
        <v>0</v>
      </c>
      <c r="H110" s="546">
        <f t="shared" si="1"/>
        <v>0</v>
      </c>
    </row>
    <row r="111" spans="2:8">
      <c r="B111" s="549" t="str">
        <f>IF(AND($E17=0,$G17=0),"",$B17)</f>
        <v>תקציב רגיל</v>
      </c>
      <c r="C111" s="548">
        <f>IF(AND($E17=0,$G17=0),"",$C17)</f>
        <v>4</v>
      </c>
      <c r="D111" s="548">
        <f t="shared" si="1"/>
        <v>0</v>
      </c>
      <c r="E111" s="550">
        <f t="shared" si="1"/>
        <v>796607</v>
      </c>
      <c r="F111" s="551">
        <f t="shared" si="1"/>
        <v>0</v>
      </c>
      <c r="G111" s="550">
        <f t="shared" si="1"/>
        <v>750053</v>
      </c>
      <c r="H111" s="546">
        <f t="shared" si="1"/>
        <v>0</v>
      </c>
    </row>
    <row r="112" spans="2:8">
      <c r="B112" s="549" t="str">
        <f>IF(AND($E18=0,$G18=0),"",$B18)</f>
        <v>תקציב בלתי רגיל</v>
      </c>
      <c r="C112" s="548">
        <f>IF(AND($E18=0,$G18=0),"",$C18)</f>
        <v>5</v>
      </c>
      <c r="D112" s="548">
        <f t="shared" si="1"/>
        <v>0</v>
      </c>
      <c r="E112" s="550">
        <f t="shared" si="1"/>
        <v>167764</v>
      </c>
      <c r="F112" s="551">
        <f t="shared" si="1"/>
        <v>0</v>
      </c>
      <c r="G112" s="550">
        <f t="shared" si="1"/>
        <v>234522</v>
      </c>
      <c r="H112" s="546">
        <f t="shared" si="1"/>
        <v>0</v>
      </c>
    </row>
    <row r="113" spans="2:8">
      <c r="B113" s="549" t="str">
        <f>IF(AND($E19=0,$G19=0),"",$B19)</f>
        <v>מקרן לעבודות פיתוח</v>
      </c>
      <c r="C113" s="548">
        <f>IF(AND($E19=0,$G19=0),"",$C19)</f>
        <v>6</v>
      </c>
      <c r="D113" s="548">
        <f t="shared" ref="D113:H123" si="2">D19</f>
        <v>0</v>
      </c>
      <c r="E113" s="550">
        <f t="shared" si="2"/>
        <v>17375</v>
      </c>
      <c r="F113" s="551">
        <f t="shared" si="2"/>
        <v>0</v>
      </c>
      <c r="G113" s="550">
        <f t="shared" si="2"/>
        <v>41</v>
      </c>
      <c r="H113" s="546">
        <f t="shared" si="2"/>
        <v>0</v>
      </c>
    </row>
    <row r="114" spans="2:8">
      <c r="B114" s="549" t="str">
        <f>IF(AND($B20&lt;&gt;"(***)",OR($E20&lt;&gt;0,$G20&lt;&gt;0)),$B20,"")</f>
        <v/>
      </c>
      <c r="C114" s="548" t="str">
        <f>IF(AND($E20=0,$G20=0),"",$C20)</f>
        <v/>
      </c>
      <c r="D114" s="548">
        <f t="shared" si="2"/>
        <v>0</v>
      </c>
      <c r="E114" s="550">
        <f t="shared" si="2"/>
        <v>0</v>
      </c>
      <c r="F114" s="551">
        <f t="shared" si="2"/>
        <v>0</v>
      </c>
      <c r="G114" s="550">
        <f t="shared" si="2"/>
        <v>0</v>
      </c>
      <c r="H114" s="546">
        <f t="shared" si="2"/>
        <v>0</v>
      </c>
    </row>
    <row r="115" spans="2:8">
      <c r="B115" s="549" t="str">
        <f>IF(AND($E21=0,$G21=0),"",$B21)</f>
        <v>סך כל ההוצאות</v>
      </c>
      <c r="C115" s="548">
        <f t="shared" ref="C115:C125" si="3">C21</f>
        <v>0</v>
      </c>
      <c r="D115" s="548">
        <f t="shared" si="2"/>
        <v>0</v>
      </c>
      <c r="E115" s="552">
        <f t="shared" si="2"/>
        <v>981746</v>
      </c>
      <c r="F115" s="551">
        <f t="shared" si="2"/>
        <v>0</v>
      </c>
      <c r="G115" s="552">
        <f t="shared" si="2"/>
        <v>984616</v>
      </c>
      <c r="H115" s="546">
        <f t="shared" si="2"/>
        <v>0</v>
      </c>
    </row>
    <row r="116" spans="2:8">
      <c r="B116" s="549">
        <f>B22</f>
        <v>0</v>
      </c>
      <c r="C116" s="548">
        <f t="shared" si="3"/>
        <v>0</v>
      </c>
      <c r="D116" s="548">
        <f t="shared" si="2"/>
        <v>0</v>
      </c>
      <c r="E116" s="551">
        <f t="shared" si="2"/>
        <v>0</v>
      </c>
      <c r="F116" s="551">
        <f t="shared" si="2"/>
        <v>0</v>
      </c>
      <c r="G116" s="551">
        <f t="shared" si="2"/>
        <v>0</v>
      </c>
      <c r="H116" s="546">
        <f t="shared" si="2"/>
        <v>0</v>
      </c>
    </row>
    <row r="117" spans="2:8" ht="43.5" customHeight="1" thickBot="1">
      <c r="B117" s="554" t="str">
        <f>IF(AND($E23=0,$G23=0),"",$B23)</f>
        <v>עודף הכנסות על הוצאות בשנת התקציב</v>
      </c>
      <c r="C117" s="548">
        <f t="shared" si="3"/>
        <v>0</v>
      </c>
      <c r="D117" s="548">
        <f t="shared" si="2"/>
        <v>0</v>
      </c>
      <c r="E117" s="555">
        <f t="shared" si="2"/>
        <v>151244</v>
      </c>
      <c r="F117" s="551">
        <f t="shared" si="2"/>
        <v>0</v>
      </c>
      <c r="G117" s="555">
        <f t="shared" si="2"/>
        <v>74558</v>
      </c>
      <c r="H117" s="546">
        <f t="shared" si="2"/>
        <v>0</v>
      </c>
    </row>
    <row r="118" spans="2:8" ht="13.8" thickTop="1">
      <c r="B118" s="549">
        <f>B24</f>
        <v>0</v>
      </c>
      <c r="C118" s="556">
        <f t="shared" si="3"/>
        <v>0</v>
      </c>
      <c r="D118" s="556">
        <f t="shared" si="2"/>
        <v>0</v>
      </c>
      <c r="E118" s="557">
        <f t="shared" si="2"/>
        <v>0</v>
      </c>
      <c r="F118" s="557">
        <f t="shared" si="2"/>
        <v>0</v>
      </c>
      <c r="G118" s="557">
        <f t="shared" si="2"/>
        <v>0</v>
      </c>
      <c r="H118" s="556">
        <f t="shared" si="2"/>
        <v>0</v>
      </c>
    </row>
    <row r="119" spans="2:8">
      <c r="B119" s="547" t="str">
        <f>B25</f>
        <v>הרכב הגרעון הכללי</v>
      </c>
      <c r="C119" s="548">
        <f t="shared" si="3"/>
        <v>0</v>
      </c>
      <c r="D119" s="548">
        <f t="shared" si="2"/>
        <v>0</v>
      </c>
      <c r="E119" s="551">
        <f t="shared" si="2"/>
        <v>0</v>
      </c>
      <c r="F119" s="551">
        <f t="shared" si="2"/>
        <v>0</v>
      </c>
      <c r="G119" s="551">
        <f t="shared" si="2"/>
        <v>0</v>
      </c>
      <c r="H119" s="546">
        <f t="shared" si="2"/>
        <v>0</v>
      </c>
    </row>
    <row r="120" spans="2:8">
      <c r="B120" s="554">
        <f>B26</f>
        <v>0</v>
      </c>
      <c r="C120" s="545">
        <f t="shared" si="3"/>
        <v>0</v>
      </c>
      <c r="D120" s="545">
        <f t="shared" si="2"/>
        <v>0</v>
      </c>
      <c r="E120" s="551">
        <f t="shared" si="2"/>
        <v>0</v>
      </c>
      <c r="F120" s="551">
        <f t="shared" si="2"/>
        <v>0</v>
      </c>
      <c r="G120" s="551">
        <f t="shared" si="2"/>
        <v>0</v>
      </c>
      <c r="H120" s="546">
        <f t="shared" si="2"/>
        <v>0</v>
      </c>
    </row>
    <row r="121" spans="2:8">
      <c r="B121" s="549" t="str">
        <f>IF(AND($E27=0,$G27=0),"",$B27)</f>
        <v>עודף בשנת הדוח בתקציב הרגיל</v>
      </c>
      <c r="C121" s="548">
        <f t="shared" si="3"/>
        <v>0</v>
      </c>
      <c r="D121" s="548">
        <f t="shared" si="2"/>
        <v>0</v>
      </c>
      <c r="E121" s="550">
        <f t="shared" si="2"/>
        <v>17517</v>
      </c>
      <c r="F121" s="551">
        <f t="shared" si="2"/>
        <v>0</v>
      </c>
      <c r="G121" s="550">
        <f t="shared" si="2"/>
        <v>10642</v>
      </c>
      <c r="H121" s="546">
        <f t="shared" si="2"/>
        <v>0</v>
      </c>
    </row>
    <row r="122" spans="2:8">
      <c r="B122" s="549" t="str">
        <f>IF(AND($E28=0,$G28=0),"",$B28)</f>
        <v>עודף בשנת הדוח בתקציב הבלתי רגיל</v>
      </c>
      <c r="C122" s="548">
        <f t="shared" si="3"/>
        <v>0</v>
      </c>
      <c r="D122" s="548">
        <f t="shared" si="2"/>
        <v>0</v>
      </c>
      <c r="E122" s="550">
        <f t="shared" si="2"/>
        <v>149464</v>
      </c>
      <c r="F122" s="551">
        <f t="shared" si="2"/>
        <v>0</v>
      </c>
      <c r="G122" s="550">
        <f t="shared" si="2"/>
        <v>14143</v>
      </c>
      <c r="H122" s="546">
        <f t="shared" si="2"/>
        <v>0</v>
      </c>
    </row>
    <row r="123" spans="2:8">
      <c r="B123" s="549" t="str">
        <f>IF(AND($E29=0,$G29=0),"",$B29)</f>
        <v/>
      </c>
      <c r="C123" s="548" t="str">
        <f>IF(AND($E29=0,$G29=0),"",$C29)</f>
        <v/>
      </c>
      <c r="D123" s="548">
        <f t="shared" si="2"/>
        <v>0</v>
      </c>
      <c r="E123" s="550">
        <f t="shared" si="2"/>
        <v>0</v>
      </c>
      <c r="F123" s="551">
        <f t="shared" si="2"/>
        <v>0</v>
      </c>
      <c r="G123" s="550">
        <f t="shared" si="2"/>
        <v>0</v>
      </c>
      <c r="H123" s="546"/>
    </row>
    <row r="124" spans="2:8">
      <c r="B124" s="549">
        <f>B30</f>
        <v>0</v>
      </c>
      <c r="C124" s="548">
        <f t="shared" si="3"/>
        <v>0</v>
      </c>
      <c r="D124" s="548">
        <f t="shared" ref="D124:H128" si="4">D30</f>
        <v>0</v>
      </c>
      <c r="E124" s="552">
        <f t="shared" si="4"/>
        <v>166981</v>
      </c>
      <c r="F124" s="551">
        <f t="shared" si="4"/>
        <v>0</v>
      </c>
      <c r="G124" s="552">
        <f t="shared" si="4"/>
        <v>24785</v>
      </c>
      <c r="H124" s="546">
        <f t="shared" si="4"/>
        <v>0</v>
      </c>
    </row>
    <row r="125" spans="2:8">
      <c r="B125" s="549">
        <f>B31</f>
        <v>0</v>
      </c>
      <c r="C125" s="548">
        <f t="shared" si="3"/>
        <v>0</v>
      </c>
      <c r="D125" s="548">
        <f t="shared" si="4"/>
        <v>0</v>
      </c>
      <c r="E125" s="550">
        <f t="shared" si="4"/>
        <v>0</v>
      </c>
      <c r="F125" s="551">
        <f t="shared" si="4"/>
        <v>0</v>
      </c>
      <c r="G125" s="550">
        <f t="shared" si="4"/>
        <v>0</v>
      </c>
      <c r="H125" s="546">
        <f t="shared" si="4"/>
        <v>0</v>
      </c>
    </row>
    <row r="126" spans="2:8">
      <c r="B126" s="549" t="str">
        <f>IF(AND($E32=0,$G32=0),"",$B32)</f>
        <v>(קיטון) גידול בקרן לעבודות פיתוח</v>
      </c>
      <c r="C126" s="548">
        <f>IF(AND($E32=0,$G32=0),"",$C32)</f>
        <v>0</v>
      </c>
      <c r="D126" s="548">
        <f t="shared" si="4"/>
        <v>0</v>
      </c>
      <c r="E126" s="558">
        <f t="shared" si="4"/>
        <v>-15737</v>
      </c>
      <c r="F126" s="551">
        <f t="shared" si="4"/>
        <v>0</v>
      </c>
      <c r="G126" s="558">
        <f t="shared" si="4"/>
        <v>49773</v>
      </c>
      <c r="H126" s="546">
        <f t="shared" si="4"/>
        <v>0</v>
      </c>
    </row>
    <row r="127" spans="2:8">
      <c r="B127" s="549">
        <f>B33</f>
        <v>0</v>
      </c>
      <c r="C127" s="548">
        <f>C33</f>
        <v>0</v>
      </c>
      <c r="D127" s="548">
        <f t="shared" si="4"/>
        <v>0</v>
      </c>
      <c r="E127" s="550">
        <f t="shared" si="4"/>
        <v>0</v>
      </c>
      <c r="F127" s="551">
        <f t="shared" si="4"/>
        <v>0</v>
      </c>
      <c r="G127" s="550">
        <f t="shared" si="4"/>
        <v>0</v>
      </c>
      <c r="H127" s="546">
        <f t="shared" si="4"/>
        <v>0</v>
      </c>
    </row>
    <row r="128" spans="2:8" ht="13.8" thickBot="1">
      <c r="B128" s="549" t="str">
        <f>IF(AND($E34=0,$G34=0),"",$B34)</f>
        <v>עודף כללי</v>
      </c>
      <c r="C128" s="543">
        <f>C34</f>
        <v>0</v>
      </c>
      <c r="D128" s="543">
        <f t="shared" si="4"/>
        <v>0</v>
      </c>
      <c r="E128" s="555">
        <f t="shared" si="4"/>
        <v>151244</v>
      </c>
      <c r="F128" s="559">
        <f t="shared" si="4"/>
        <v>0</v>
      </c>
      <c r="G128" s="555">
        <f t="shared" si="4"/>
        <v>74558</v>
      </c>
      <c r="H128" s="546">
        <f t="shared" si="4"/>
        <v>0</v>
      </c>
    </row>
    <row r="129" spans="2:2" ht="13.8" thickTop="1">
      <c r="B129" s="560"/>
    </row>
  </sheetData>
  <sheetProtection password="83C1" sheet="1" objects="1" scenarios="1"/>
  <mergeCells count="6">
    <mergeCell ref="B96:G96"/>
    <mergeCell ref="B97:G97"/>
    <mergeCell ref="B98:G98"/>
    <mergeCell ref="C2:J2"/>
    <mergeCell ref="C4:J4"/>
    <mergeCell ref="C3:J3"/>
  </mergeCells>
  <phoneticPr fontId="4" type="noConversion"/>
  <hyperlinks>
    <hyperlink ref="A6" location="'תוכן הענינים'!A1" tooltip="לחץ להצגת גליון תוכן הענינים" display="הצג תוכן ענינים"/>
  </hyperlinks>
  <printOptions horizontalCentered="1"/>
  <pageMargins left="0.25" right="0.25" top="0.84" bottom="0.25" header="0.25" footer="0.261811024"/>
  <pageSetup paperSize="9" orientation="portrait" blackAndWhite="1" horizontalDpi="300" verticalDpi="300" r:id="rId1"/>
  <headerFooter alignWithMargins="0">
    <oddHeader>&amp;L&amp;8&amp;A</oddHeader>
    <oddFooter xml:space="preserve">&amp;L &amp;C&amp;8&amp;P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6">
    <pageSetUpPr autoPageBreaks="0"/>
  </sheetPr>
  <dimension ref="A1:IV306"/>
  <sheetViews>
    <sheetView showGridLines="0" showRowColHeaders="0" showZeros="0" rightToLeft="1" showOutlineSymbols="0" zoomScaleNormal="100" workbookViewId="0">
      <selection activeCell="A3" sqref="A3"/>
    </sheetView>
  </sheetViews>
  <sheetFormatPr defaultColWidth="9.109375" defaultRowHeight="13.2"/>
  <cols>
    <col min="1" max="1" width="6.6640625" style="570" customWidth="1"/>
    <col min="2" max="2" width="46.5546875" style="615" customWidth="1"/>
    <col min="3" max="3" width="2.44140625" style="615" customWidth="1"/>
    <col min="4" max="4" width="2.88671875" style="570" customWidth="1"/>
    <col min="5" max="5" width="2" style="570" customWidth="1"/>
    <col min="6" max="6" width="15.6640625" style="616" customWidth="1"/>
    <col min="7" max="7" width="2.33203125" style="570" customWidth="1"/>
    <col min="8" max="8" width="15.6640625" style="616" customWidth="1"/>
    <col min="9" max="9" width="12.5546875" style="570" customWidth="1"/>
    <col min="10" max="16384" width="9.109375" style="570"/>
  </cols>
  <sheetData>
    <row r="1" spans="1:12" s="566" customFormat="1" ht="28.5" customHeight="1">
      <c r="A1" s="561"/>
      <c r="B1" s="562"/>
      <c r="C1" s="562"/>
      <c r="D1" s="562"/>
      <c r="E1" s="562"/>
      <c r="F1" s="3451" t="str">
        <f>'הגדרות כלליות'!D6</f>
        <v>עירית הרצליה</v>
      </c>
      <c r="G1" s="3452"/>
      <c r="H1" s="3452"/>
      <c r="I1" s="3452"/>
      <c r="J1" s="563"/>
      <c r="K1" s="564"/>
      <c r="L1" s="565"/>
    </row>
    <row r="2" spans="1:12" ht="22.5" customHeight="1">
      <c r="A2" s="567"/>
      <c r="B2" s="568"/>
      <c r="C2" s="568"/>
      <c r="D2" s="567"/>
      <c r="E2" s="567"/>
      <c r="F2" s="3451" t="s">
        <v>546</v>
      </c>
      <c r="G2" s="3452"/>
      <c r="H2" s="3452"/>
      <c r="I2" s="3452"/>
      <c r="J2" s="563"/>
      <c r="K2" s="569"/>
    </row>
    <row r="3" spans="1:12" ht="13.5" customHeight="1">
      <c r="A3" s="7" t="s">
        <v>339</v>
      </c>
      <c r="B3" s="367"/>
      <c r="C3" s="367"/>
      <c r="D3" s="571"/>
      <c r="E3" s="571"/>
      <c r="F3" s="572"/>
      <c r="G3" s="573"/>
      <c r="H3" s="573"/>
      <c r="I3" s="573"/>
      <c r="J3" s="574"/>
      <c r="K3" s="569"/>
    </row>
    <row r="4" spans="1:12" ht="25.5" customHeight="1">
      <c r="A4" s="571"/>
      <c r="B4" s="3409" t="s">
        <v>547</v>
      </c>
      <c r="C4" s="3409"/>
      <c r="D4" s="3448"/>
      <c r="E4" s="3448"/>
      <c r="F4" s="3448"/>
      <c r="G4" s="3448"/>
      <c r="H4" s="3448"/>
      <c r="I4" s="3448"/>
      <c r="J4" s="3448"/>
      <c r="K4" s="569"/>
    </row>
    <row r="5" spans="1:12">
      <c r="A5" s="571"/>
      <c r="B5" s="575"/>
      <c r="C5" s="576"/>
      <c r="D5" s="3449" t="s">
        <v>548</v>
      </c>
      <c r="E5" s="3450"/>
      <c r="F5" s="3450"/>
      <c r="G5" s="577"/>
      <c r="H5" s="578"/>
      <c r="I5" s="579"/>
      <c r="J5" s="571"/>
      <c r="K5" s="569"/>
    </row>
    <row r="6" spans="1:12">
      <c r="A6" s="571"/>
      <c r="B6" s="580"/>
      <c r="C6" s="581"/>
      <c r="D6" s="582"/>
      <c r="E6" s="583"/>
      <c r="F6" s="583"/>
      <c r="G6" s="584"/>
      <c r="H6" s="585"/>
      <c r="I6" s="586"/>
      <c r="J6" s="571"/>
      <c r="K6" s="569"/>
    </row>
    <row r="7" spans="1:12" ht="13.5" customHeight="1">
      <c r="A7" s="571"/>
      <c r="B7" s="587" t="s">
        <v>549</v>
      </c>
      <c r="C7" s="581"/>
      <c r="D7" s="588">
        <v>1</v>
      </c>
      <c r="E7" s="583"/>
      <c r="F7" s="589"/>
      <c r="G7" s="583"/>
      <c r="H7" s="589"/>
      <c r="I7" s="590"/>
      <c r="J7" s="571"/>
      <c r="K7" s="569"/>
    </row>
    <row r="8" spans="1:12" ht="18.75" customHeight="1">
      <c r="A8" s="571"/>
      <c r="B8" s="591"/>
      <c r="C8" s="581"/>
      <c r="D8" s="583"/>
      <c r="E8" s="583"/>
      <c r="F8" s="2916" t="str">
        <f>CONCATENATE(Shana," - באלפי ש""ח")</f>
        <v>2015 - באלפי ש"ח</v>
      </c>
      <c r="G8" s="593"/>
      <c r="H8" s="2916" t="str">
        <f>CONCATENATE(ShanaKodemet," - באלפי ש""ח")</f>
        <v>2014 - באלפי ש"ח</v>
      </c>
      <c r="I8" s="590"/>
      <c r="J8" s="571"/>
      <c r="K8" s="569"/>
    </row>
    <row r="9" spans="1:12">
      <c r="A9" s="571"/>
      <c r="B9" s="591" t="s">
        <v>550</v>
      </c>
      <c r="C9" s="581"/>
      <c r="D9" s="583"/>
      <c r="E9" s="583"/>
      <c r="F9" s="594">
        <f>'טופס 2'!$G$55</f>
        <v>853785</v>
      </c>
      <c r="G9" s="583"/>
      <c r="H9" s="594">
        <f>'טופס 2'!$I$55</f>
        <v>795695</v>
      </c>
      <c r="I9" s="590"/>
      <c r="J9" s="571"/>
      <c r="K9" s="569"/>
    </row>
    <row r="10" spans="1:12">
      <c r="A10" s="571"/>
      <c r="B10" s="595" t="s">
        <v>798</v>
      </c>
      <c r="C10" s="581"/>
      <c r="D10" s="583"/>
      <c r="E10" s="583"/>
      <c r="F10" s="594">
        <f>-'ביאור 5'!K26</f>
        <v>-30392</v>
      </c>
      <c r="G10" s="583"/>
      <c r="H10" s="594">
        <f>-'ביאור 5'!K14</f>
        <v>-38163</v>
      </c>
      <c r="I10" s="590"/>
      <c r="J10" s="571"/>
      <c r="K10" s="569"/>
    </row>
    <row r="11" spans="1:12">
      <c r="A11" s="571"/>
      <c r="B11" s="595" t="s">
        <v>2153</v>
      </c>
      <c r="C11" s="581"/>
      <c r="D11" s="583"/>
      <c r="E11" s="583"/>
      <c r="F11" s="594">
        <f>-'ביאור 4'!E13</f>
        <v>0</v>
      </c>
      <c r="G11" s="583"/>
      <c r="H11" s="594">
        <f>-'ביאור 4'!G13</f>
        <v>0</v>
      </c>
      <c r="I11" s="590"/>
      <c r="J11" s="571"/>
      <c r="K11" s="569"/>
    </row>
    <row r="12" spans="1:12">
      <c r="A12" s="571"/>
      <c r="B12" s="595" t="s">
        <v>350</v>
      </c>
      <c r="C12" s="581"/>
      <c r="D12" s="583"/>
      <c r="E12" s="583"/>
      <c r="F12" s="596"/>
      <c r="G12" s="583"/>
      <c r="H12" s="596"/>
      <c r="I12" s="590"/>
      <c r="J12" s="571"/>
      <c r="K12" s="569"/>
    </row>
    <row r="13" spans="1:12">
      <c r="A13" s="571"/>
      <c r="B13" s="595" t="s">
        <v>350</v>
      </c>
      <c r="C13" s="581"/>
      <c r="D13" s="583"/>
      <c r="E13" s="583"/>
      <c r="F13" s="596"/>
      <c r="G13" s="583"/>
      <c r="H13" s="596"/>
      <c r="I13" s="590"/>
      <c r="J13" s="571"/>
      <c r="K13" s="569"/>
    </row>
    <row r="14" spans="1:12">
      <c r="A14" s="571"/>
      <c r="B14" s="595" t="s">
        <v>350</v>
      </c>
      <c r="C14" s="581"/>
      <c r="D14" s="583"/>
      <c r="E14" s="583"/>
      <c r="F14" s="597"/>
      <c r="G14" s="583"/>
      <c r="H14" s="597"/>
      <c r="I14" s="590"/>
      <c r="J14" s="571"/>
      <c r="K14" s="569"/>
    </row>
    <row r="15" spans="1:12" ht="13.8" thickBot="1">
      <c r="A15" s="571"/>
      <c r="B15" s="591" t="s">
        <v>551</v>
      </c>
      <c r="C15" s="581"/>
      <c r="D15" s="583"/>
      <c r="E15" s="583"/>
      <c r="F15" s="598">
        <f>F9+F10+F11+F12+F13+F14</f>
        <v>823393</v>
      </c>
      <c r="G15" s="583"/>
      <c r="H15" s="598">
        <f>H9+H10+H11+H12+H13+H14</f>
        <v>757532</v>
      </c>
      <c r="I15" s="590"/>
      <c r="J15" s="571"/>
      <c r="K15" s="569"/>
    </row>
    <row r="16" spans="1:12" ht="13.8" thickTop="1">
      <c r="A16" s="571"/>
      <c r="B16" s="591"/>
      <c r="C16" s="581"/>
      <c r="D16" s="583"/>
      <c r="E16" s="583"/>
      <c r="F16" s="599"/>
      <c r="G16" s="583"/>
      <c r="H16" s="599"/>
      <c r="I16" s="590"/>
      <c r="J16" s="571"/>
      <c r="K16" s="569"/>
    </row>
    <row r="17" spans="1:11">
      <c r="A17" s="571"/>
      <c r="B17" s="587" t="s">
        <v>549</v>
      </c>
      <c r="C17" s="581"/>
      <c r="D17" s="588">
        <v>2</v>
      </c>
      <c r="E17" s="583"/>
      <c r="F17" s="599"/>
      <c r="G17" s="583"/>
      <c r="H17" s="599"/>
      <c r="I17" s="590"/>
      <c r="J17" s="571"/>
      <c r="K17" s="569"/>
    </row>
    <row r="18" spans="1:11">
      <c r="A18" s="571"/>
      <c r="B18" s="591"/>
      <c r="C18" s="581"/>
      <c r="D18" s="583"/>
      <c r="E18" s="583"/>
      <c r="F18" s="599"/>
      <c r="G18" s="583"/>
      <c r="H18" s="599"/>
      <c r="I18" s="590"/>
      <c r="J18" s="571"/>
      <c r="K18" s="569"/>
    </row>
    <row r="19" spans="1:11">
      <c r="A19" s="571"/>
      <c r="B19" s="3446" t="s">
        <v>552</v>
      </c>
      <c r="C19" s="3447"/>
      <c r="D19" s="583"/>
      <c r="E19" s="583"/>
      <c r="F19" s="594">
        <f>'טופס 3'!$G$18</f>
        <v>321430</v>
      </c>
      <c r="G19" s="583"/>
      <c r="H19" s="594">
        <f>'טופס 3'!$I$18</f>
        <v>254652</v>
      </c>
      <c r="I19" s="590"/>
      <c r="J19" s="571"/>
      <c r="K19" s="569"/>
    </row>
    <row r="20" spans="1:11">
      <c r="A20" s="571"/>
      <c r="B20" s="595" t="s">
        <v>798</v>
      </c>
      <c r="C20" s="581"/>
      <c r="D20" s="583"/>
      <c r="E20" s="583"/>
      <c r="F20" s="594">
        <f>-'ביאור 5'!J26</f>
        <v>-282120</v>
      </c>
      <c r="G20" s="583"/>
      <c r="H20" s="594">
        <f>-'ביאור 5'!J14</f>
        <v>-229573</v>
      </c>
      <c r="I20" s="590"/>
      <c r="J20" s="571"/>
      <c r="K20" s="569"/>
    </row>
    <row r="21" spans="1:11">
      <c r="A21" s="571"/>
      <c r="B21" s="595" t="s">
        <v>799</v>
      </c>
      <c r="C21" s="581"/>
      <c r="D21" s="583"/>
      <c r="E21" s="583"/>
      <c r="F21" s="594">
        <f>-'טופס 3'!G14</f>
        <v>0</v>
      </c>
      <c r="G21" s="583"/>
      <c r="H21" s="594">
        <f>-'טופס 3'!I14</f>
        <v>0</v>
      </c>
      <c r="I21" s="590"/>
      <c r="J21" s="571"/>
      <c r="K21" s="569"/>
    </row>
    <row r="22" spans="1:11">
      <c r="A22" s="571"/>
      <c r="B22" s="595" t="s">
        <v>350</v>
      </c>
      <c r="C22" s="581"/>
      <c r="D22" s="583"/>
      <c r="E22" s="583"/>
      <c r="F22" s="596"/>
      <c r="G22" s="583"/>
      <c r="H22" s="596"/>
      <c r="I22" s="590"/>
      <c r="J22" s="571"/>
      <c r="K22" s="569"/>
    </row>
    <row r="23" spans="1:11">
      <c r="A23" s="571"/>
      <c r="B23" s="595" t="s">
        <v>350</v>
      </c>
      <c r="C23" s="581"/>
      <c r="D23" s="583"/>
      <c r="E23" s="583"/>
      <c r="F23" s="596"/>
      <c r="G23" s="583"/>
      <c r="H23" s="596"/>
      <c r="I23" s="590"/>
      <c r="J23" s="571"/>
      <c r="K23" s="569"/>
    </row>
    <row r="24" spans="1:11">
      <c r="A24" s="571"/>
      <c r="B24" s="595" t="s">
        <v>350</v>
      </c>
      <c r="C24" s="581"/>
      <c r="D24" s="583"/>
      <c r="E24" s="583"/>
      <c r="F24" s="597"/>
      <c r="G24" s="583"/>
      <c r="H24" s="597"/>
      <c r="I24" s="590"/>
      <c r="J24" s="571"/>
      <c r="K24" s="569"/>
    </row>
    <row r="25" spans="1:11" ht="13.8" thickBot="1">
      <c r="A25" s="571"/>
      <c r="B25" s="591" t="s">
        <v>551</v>
      </c>
      <c r="C25" s="581"/>
      <c r="D25" s="583"/>
      <c r="E25" s="583"/>
      <c r="F25" s="598">
        <f>F19+F20+F21+F22+F23+F24</f>
        <v>39310</v>
      </c>
      <c r="G25" s="583"/>
      <c r="H25" s="598">
        <f>H19+H20+H21+H22+H23+H24</f>
        <v>25079</v>
      </c>
      <c r="I25" s="590"/>
      <c r="J25" s="571"/>
      <c r="K25" s="569"/>
    </row>
    <row r="26" spans="1:11" ht="13.8" thickTop="1">
      <c r="A26" s="571"/>
      <c r="B26" s="591"/>
      <c r="C26" s="581"/>
      <c r="D26" s="583"/>
      <c r="E26" s="583"/>
      <c r="F26" s="599"/>
      <c r="G26" s="583"/>
      <c r="H26" s="599"/>
      <c r="I26" s="590"/>
      <c r="J26" s="571"/>
      <c r="K26" s="569"/>
    </row>
    <row r="27" spans="1:11">
      <c r="A27" s="571"/>
      <c r="B27" s="587" t="s">
        <v>549</v>
      </c>
      <c r="C27" s="581"/>
      <c r="D27" s="588">
        <v>3</v>
      </c>
      <c r="E27" s="583"/>
      <c r="F27" s="599"/>
      <c r="G27" s="583"/>
      <c r="H27" s="599"/>
      <c r="I27" s="590"/>
      <c r="J27" s="571"/>
      <c r="K27" s="569"/>
    </row>
    <row r="28" spans="1:11">
      <c r="A28" s="571"/>
      <c r="B28" s="591" t="s">
        <v>554</v>
      </c>
      <c r="C28" s="581"/>
      <c r="D28" s="583"/>
      <c r="E28" s="583"/>
      <c r="F28" s="600">
        <f>'ביאור 5'!I26</f>
        <v>547196</v>
      </c>
      <c r="G28" s="583"/>
      <c r="H28" s="600">
        <f>+'ביאור 5'!I14</f>
        <v>480450</v>
      </c>
      <c r="I28" s="590"/>
      <c r="J28" s="571"/>
      <c r="K28" s="569"/>
    </row>
    <row r="29" spans="1:11">
      <c r="A29" s="571"/>
      <c r="B29" s="591" t="s">
        <v>800</v>
      </c>
      <c r="C29" s="581"/>
      <c r="D29" s="583"/>
      <c r="E29" s="583"/>
      <c r="F29" s="600">
        <f>-1*('ביאור 5'!E26)</f>
        <v>-4202</v>
      </c>
      <c r="G29" s="583"/>
      <c r="H29" s="600">
        <f>-'ביאור 5'!E14</f>
        <v>-5987</v>
      </c>
      <c r="I29" s="590"/>
      <c r="J29" s="571"/>
      <c r="K29" s="569"/>
    </row>
    <row r="30" spans="1:11">
      <c r="A30" s="571"/>
      <c r="B30" s="591" t="s">
        <v>801</v>
      </c>
      <c r="C30" s="581"/>
      <c r="D30" s="583"/>
      <c r="E30" s="583"/>
      <c r="F30" s="600">
        <f>-1*('ביאור 5'!F26)</f>
        <v>-233046</v>
      </c>
      <c r="G30" s="583"/>
      <c r="H30" s="600">
        <f>-'ביאור 5'!F14</f>
        <v>-162900</v>
      </c>
      <c r="I30" s="590"/>
      <c r="J30" s="571"/>
      <c r="K30" s="569"/>
    </row>
    <row r="31" spans="1:11">
      <c r="A31" s="571"/>
      <c r="B31" s="591" t="s">
        <v>799</v>
      </c>
      <c r="C31" s="581"/>
      <c r="D31" s="583"/>
      <c r="E31" s="583"/>
      <c r="F31" s="600">
        <f>-1*('ביאור 5'!G26)</f>
        <v>-39661</v>
      </c>
      <c r="G31" s="583"/>
      <c r="H31" s="600">
        <f>-'ביאור 5'!G14</f>
        <v>-35000</v>
      </c>
      <c r="I31" s="590"/>
      <c r="J31" s="571"/>
      <c r="K31" s="569"/>
    </row>
    <row r="32" spans="1:11">
      <c r="A32" s="571"/>
      <c r="B32" s="595" t="s">
        <v>350</v>
      </c>
      <c r="C32" s="581"/>
      <c r="D32" s="583"/>
      <c r="E32" s="583"/>
      <c r="F32" s="596"/>
      <c r="G32" s="583"/>
      <c r="H32" s="596"/>
      <c r="I32" s="590"/>
      <c r="J32" s="571"/>
      <c r="K32" s="569"/>
    </row>
    <row r="33" spans="1:11">
      <c r="A33" s="571"/>
      <c r="B33" s="595" t="s">
        <v>350</v>
      </c>
      <c r="C33" s="581"/>
      <c r="D33" s="583"/>
      <c r="E33" s="583"/>
      <c r="F33" s="597"/>
      <c r="G33" s="583"/>
      <c r="H33" s="597"/>
      <c r="I33" s="590"/>
      <c r="J33" s="571"/>
      <c r="K33" s="569"/>
    </row>
    <row r="34" spans="1:11" ht="13.8" thickBot="1">
      <c r="A34" s="571"/>
      <c r="B34" s="591" t="s">
        <v>551</v>
      </c>
      <c r="C34" s="581"/>
      <c r="D34" s="583"/>
      <c r="E34" s="583"/>
      <c r="F34" s="598">
        <f>SUM(F28:F33)</f>
        <v>270287</v>
      </c>
      <c r="G34" s="583"/>
      <c r="H34" s="598">
        <f>SUM(H28:H33)</f>
        <v>276563</v>
      </c>
      <c r="I34" s="590"/>
      <c r="J34" s="571"/>
      <c r="K34" s="569"/>
    </row>
    <row r="35" spans="1:11" ht="13.8" thickTop="1">
      <c r="A35" s="571"/>
      <c r="B35" s="591"/>
      <c r="C35" s="581"/>
      <c r="D35" s="583"/>
      <c r="E35" s="583"/>
      <c r="F35" s="599"/>
      <c r="G35" s="583"/>
      <c r="H35" s="599"/>
      <c r="I35" s="590"/>
      <c r="J35" s="571"/>
      <c r="K35" s="569"/>
    </row>
    <row r="36" spans="1:11">
      <c r="A36" s="571"/>
      <c r="B36" s="587" t="s">
        <v>549</v>
      </c>
      <c r="C36" s="581"/>
      <c r="D36" s="588">
        <v>4</v>
      </c>
      <c r="E36" s="583"/>
      <c r="F36" s="599"/>
      <c r="G36" s="583"/>
      <c r="H36" s="599"/>
      <c r="I36" s="590"/>
      <c r="J36" s="571"/>
      <c r="K36" s="569"/>
    </row>
    <row r="37" spans="1:11" ht="18.75" customHeight="1">
      <c r="A37" s="571"/>
      <c r="B37" s="591"/>
      <c r="C37" s="581"/>
      <c r="D37" s="583"/>
      <c r="E37" s="583"/>
      <c r="F37" s="592"/>
      <c r="G37" s="601"/>
      <c r="H37" s="592"/>
      <c r="I37" s="590"/>
      <c r="J37" s="571"/>
      <c r="K37" s="569"/>
    </row>
    <row r="38" spans="1:11">
      <c r="A38" s="571"/>
      <c r="B38" s="591" t="s">
        <v>557</v>
      </c>
      <c r="C38" s="581"/>
      <c r="D38" s="583"/>
      <c r="E38" s="583"/>
      <c r="F38" s="594">
        <f>'טופס 2'!$P$55</f>
        <v>836268</v>
      </c>
      <c r="G38" s="583"/>
      <c r="H38" s="594">
        <f>'טופס 2'!$R$55</f>
        <v>785053</v>
      </c>
      <c r="I38" s="590"/>
      <c r="J38" s="571"/>
      <c r="K38" s="569"/>
    </row>
    <row r="39" spans="1:11">
      <c r="A39" s="571"/>
      <c r="B39" s="595" t="s">
        <v>803</v>
      </c>
      <c r="C39" s="581"/>
      <c r="D39" s="583"/>
      <c r="E39" s="583"/>
      <c r="F39" s="594">
        <f>F21</f>
        <v>0</v>
      </c>
      <c r="G39" s="583"/>
      <c r="H39" s="594">
        <f>H21</f>
        <v>0</v>
      </c>
      <c r="I39" s="590"/>
      <c r="J39" s="571"/>
      <c r="K39" s="569"/>
    </row>
    <row r="40" spans="1:11">
      <c r="A40" s="571"/>
      <c r="B40" s="595" t="s">
        <v>797</v>
      </c>
      <c r="C40" s="581"/>
      <c r="D40" s="583"/>
      <c r="E40" s="583"/>
      <c r="F40" s="594">
        <f>-'ביאור 5'!G26</f>
        <v>-39661</v>
      </c>
      <c r="G40" s="583"/>
      <c r="H40" s="594">
        <f>-'ביאור 5'!G14</f>
        <v>-35000</v>
      </c>
      <c r="I40" s="590"/>
      <c r="J40" s="571"/>
      <c r="K40" s="569"/>
    </row>
    <row r="41" spans="1:11">
      <c r="A41" s="571"/>
      <c r="B41" s="595" t="s">
        <v>350</v>
      </c>
      <c r="C41" s="581"/>
      <c r="D41" s="583"/>
      <c r="E41" s="583"/>
      <c r="F41" s="596"/>
      <c r="G41" s="583"/>
      <c r="H41" s="596"/>
      <c r="I41" s="590"/>
      <c r="J41" s="571"/>
      <c r="K41" s="569"/>
    </row>
    <row r="42" spans="1:11">
      <c r="A42" s="571"/>
      <c r="B42" s="595" t="s">
        <v>350</v>
      </c>
      <c r="C42" s="581"/>
      <c r="D42" s="583"/>
      <c r="E42" s="583"/>
      <c r="F42" s="596"/>
      <c r="G42" s="583"/>
      <c r="H42" s="596"/>
      <c r="I42" s="590"/>
      <c r="J42" s="571"/>
      <c r="K42" s="569"/>
    </row>
    <row r="43" spans="1:11">
      <c r="A43" s="571"/>
      <c r="B43" s="595" t="s">
        <v>350</v>
      </c>
      <c r="C43" s="581"/>
      <c r="D43" s="583"/>
      <c r="E43" s="583"/>
      <c r="F43" s="597"/>
      <c r="G43" s="583"/>
      <c r="H43" s="597"/>
      <c r="I43" s="590"/>
      <c r="J43" s="571"/>
      <c r="K43" s="569"/>
    </row>
    <row r="44" spans="1:11" ht="13.8" thickBot="1">
      <c r="A44" s="571"/>
      <c r="B44" s="591" t="s">
        <v>551</v>
      </c>
      <c r="C44" s="581"/>
      <c r="D44" s="583"/>
      <c r="E44" s="583"/>
      <c r="F44" s="598">
        <f>F38+F39+F40+F41+F42+F43</f>
        <v>796607</v>
      </c>
      <c r="G44" s="583"/>
      <c r="H44" s="598">
        <f>H38+H39+H40+H41+H42+H43</f>
        <v>750053</v>
      </c>
      <c r="I44" s="590"/>
      <c r="J44" s="571"/>
      <c r="K44" s="569"/>
    </row>
    <row r="45" spans="1:11" ht="13.8" thickTop="1">
      <c r="A45" s="571"/>
      <c r="B45" s="591"/>
      <c r="C45" s="581"/>
      <c r="D45" s="583"/>
      <c r="E45" s="583"/>
      <c r="F45" s="599"/>
      <c r="G45" s="583"/>
      <c r="H45" s="599"/>
      <c r="I45" s="590"/>
      <c r="J45" s="571"/>
      <c r="K45" s="569"/>
    </row>
    <row r="46" spans="1:11" ht="18.75" customHeight="1">
      <c r="A46" s="571"/>
      <c r="B46" s="591"/>
      <c r="C46" s="581"/>
      <c r="D46" s="583"/>
      <c r="E46" s="583"/>
      <c r="F46" s="2915" t="str">
        <f>F8</f>
        <v>2015 - באלפי ש"ח</v>
      </c>
      <c r="G46" s="601"/>
      <c r="H46" s="2915" t="str">
        <f>H8</f>
        <v>2014 - באלפי ש"ח</v>
      </c>
      <c r="I46" s="590"/>
      <c r="J46" s="571"/>
      <c r="K46" s="569"/>
    </row>
    <row r="47" spans="1:11">
      <c r="A47" s="571"/>
      <c r="B47" s="587" t="s">
        <v>549</v>
      </c>
      <c r="C47" s="581"/>
      <c r="D47" s="588">
        <v>5</v>
      </c>
      <c r="E47" s="583"/>
      <c r="F47" s="599"/>
      <c r="G47" s="583"/>
      <c r="H47" s="599"/>
      <c r="I47" s="590"/>
      <c r="J47" s="571"/>
      <c r="K47" s="569"/>
    </row>
    <row r="48" spans="1:11">
      <c r="A48" s="571"/>
      <c r="B48" s="591"/>
      <c r="C48" s="581"/>
      <c r="D48" s="583"/>
      <c r="E48" s="583"/>
      <c r="F48" s="599"/>
      <c r="G48" s="583"/>
      <c r="H48" s="599"/>
      <c r="I48" s="590"/>
      <c r="J48" s="571"/>
      <c r="K48" s="569"/>
    </row>
    <row r="49" spans="1:11">
      <c r="A49" s="571"/>
      <c r="B49" s="591" t="s">
        <v>558</v>
      </c>
      <c r="C49" s="581"/>
      <c r="D49" s="583"/>
      <c r="E49" s="583"/>
      <c r="F49" s="594">
        <f>'טופס 3'!$G$27</f>
        <v>171966</v>
      </c>
      <c r="G49" s="583"/>
      <c r="H49" s="594">
        <f>'טופס 3'!$I$27</f>
        <v>240509</v>
      </c>
      <c r="I49" s="590"/>
      <c r="J49" s="571"/>
      <c r="K49" s="569"/>
    </row>
    <row r="50" spans="1:11">
      <c r="A50" s="571"/>
      <c r="B50" s="595" t="s">
        <v>797</v>
      </c>
      <c r="C50" s="581"/>
      <c r="D50" s="583"/>
      <c r="E50" s="583"/>
      <c r="F50" s="594">
        <f>-'ביאור 5'!E26</f>
        <v>-4202</v>
      </c>
      <c r="G50" s="583"/>
      <c r="H50" s="594">
        <f>-'ביאור 5'!E14</f>
        <v>-5987</v>
      </c>
      <c r="I50" s="590"/>
      <c r="J50" s="571"/>
      <c r="K50" s="569"/>
    </row>
    <row r="51" spans="1:11">
      <c r="A51" s="571"/>
      <c r="B51" s="595" t="s">
        <v>2153</v>
      </c>
      <c r="C51" s="581"/>
      <c r="D51" s="583"/>
      <c r="E51" s="583"/>
      <c r="F51" s="594">
        <f>-'ביאור 4'!E28</f>
        <v>0</v>
      </c>
      <c r="G51" s="583"/>
      <c r="H51" s="594">
        <f>-'ביאור 4'!G28</f>
        <v>0</v>
      </c>
      <c r="I51" s="590"/>
      <c r="J51" s="571"/>
      <c r="K51" s="569"/>
    </row>
    <row r="52" spans="1:11">
      <c r="A52" s="571"/>
      <c r="B52" s="595" t="s">
        <v>350</v>
      </c>
      <c r="C52" s="581"/>
      <c r="D52" s="583"/>
      <c r="E52" s="583"/>
      <c r="F52" s="596"/>
      <c r="G52" s="583"/>
      <c r="H52" s="596"/>
      <c r="I52" s="590"/>
      <c r="J52" s="571"/>
      <c r="K52" s="569"/>
    </row>
    <row r="53" spans="1:11">
      <c r="A53" s="571"/>
      <c r="B53" s="595" t="s">
        <v>350</v>
      </c>
      <c r="C53" s="581"/>
      <c r="D53" s="583"/>
      <c r="E53" s="583"/>
      <c r="F53" s="596"/>
      <c r="G53" s="583"/>
      <c r="H53" s="596"/>
      <c r="I53" s="590"/>
      <c r="J53" s="571"/>
      <c r="K53" s="569"/>
    </row>
    <row r="54" spans="1:11">
      <c r="A54" s="571"/>
      <c r="B54" s="595" t="s">
        <v>350</v>
      </c>
      <c r="C54" s="581"/>
      <c r="D54" s="583"/>
      <c r="E54" s="583"/>
      <c r="F54" s="597"/>
      <c r="G54" s="583"/>
      <c r="H54" s="597"/>
      <c r="I54" s="590"/>
      <c r="J54" s="571"/>
      <c r="K54" s="569"/>
    </row>
    <row r="55" spans="1:11" ht="13.8" thickBot="1">
      <c r="A55" s="571"/>
      <c r="B55" s="591" t="s">
        <v>551</v>
      </c>
      <c r="C55" s="581"/>
      <c r="D55" s="583"/>
      <c r="E55" s="583"/>
      <c r="F55" s="598">
        <f>F49+F50+F51+F52+F53+F54</f>
        <v>167764</v>
      </c>
      <c r="G55" s="583"/>
      <c r="H55" s="598">
        <f>H49+H50+H51+H52+H53+H54</f>
        <v>234522</v>
      </c>
      <c r="I55" s="590"/>
      <c r="J55" s="571"/>
      <c r="K55" s="569"/>
    </row>
    <row r="56" spans="1:11" ht="13.8" thickTop="1">
      <c r="A56" s="571"/>
      <c r="B56" s="591"/>
      <c r="C56" s="581"/>
      <c r="D56" s="583"/>
      <c r="E56" s="583"/>
      <c r="F56" s="599"/>
      <c r="G56" s="583"/>
      <c r="H56" s="599"/>
      <c r="I56" s="590"/>
      <c r="J56" s="571"/>
      <c r="K56" s="569"/>
    </row>
    <row r="57" spans="1:11">
      <c r="A57" s="571"/>
      <c r="B57" s="587" t="s">
        <v>549</v>
      </c>
      <c r="C57" s="581"/>
      <c r="D57" s="588">
        <v>6</v>
      </c>
      <c r="E57" s="583"/>
      <c r="F57" s="599"/>
      <c r="G57" s="583"/>
      <c r="H57" s="599"/>
      <c r="I57" s="590"/>
      <c r="J57" s="571"/>
      <c r="K57" s="569"/>
    </row>
    <row r="58" spans="1:11">
      <c r="A58" s="571"/>
      <c r="B58" s="591" t="s">
        <v>16</v>
      </c>
      <c r="C58" s="581"/>
      <c r="D58" s="583"/>
      <c r="E58" s="583"/>
      <c r="F58" s="2644">
        <f>'ביאור 5'!O26</f>
        <v>562933</v>
      </c>
      <c r="G58" s="583"/>
      <c r="H58" s="2644">
        <f>'ביאור 5'!O14</f>
        <v>430677</v>
      </c>
      <c r="I58" s="590"/>
      <c r="J58" s="571"/>
      <c r="K58" s="569"/>
    </row>
    <row r="59" spans="1:11">
      <c r="A59" s="571"/>
      <c r="B59" s="591" t="s">
        <v>802</v>
      </c>
      <c r="C59" s="581"/>
      <c r="D59" s="583"/>
      <c r="E59" s="583"/>
      <c r="F59" s="2644">
        <f>-1*('ביאור 5'!K26)</f>
        <v>-30392</v>
      </c>
      <c r="G59" s="583"/>
      <c r="H59" s="2644">
        <f>-1*('ביאור 5'!K14)</f>
        <v>-38163</v>
      </c>
      <c r="I59" s="590"/>
      <c r="J59" s="571"/>
      <c r="K59" s="569"/>
    </row>
    <row r="60" spans="1:11">
      <c r="A60" s="571"/>
      <c r="B60" s="591" t="s">
        <v>768</v>
      </c>
      <c r="C60" s="581"/>
      <c r="D60" s="583"/>
      <c r="E60" s="583"/>
      <c r="F60" s="600">
        <f>-1*('ביאור 5'!J26)</f>
        <v>-282120</v>
      </c>
      <c r="G60" s="583"/>
      <c r="H60" s="600">
        <f>-1*('ביאור 5'!J14)</f>
        <v>-229573</v>
      </c>
      <c r="I60" s="590"/>
      <c r="J60" s="571"/>
      <c r="K60" s="569"/>
    </row>
    <row r="61" spans="1:11">
      <c r="A61" s="571"/>
      <c r="B61" s="591" t="s">
        <v>769</v>
      </c>
      <c r="C61" s="581"/>
      <c r="D61" s="583"/>
      <c r="E61" s="583"/>
      <c r="F61" s="600">
        <f>-1*('ביאור 5'!M26)</f>
        <v>-233046</v>
      </c>
      <c r="G61" s="583"/>
      <c r="H61" s="600">
        <f>-1*('ביאור 5'!M14)</f>
        <v>-162900</v>
      </c>
      <c r="I61" s="590"/>
      <c r="J61" s="571"/>
      <c r="K61" s="569"/>
    </row>
    <row r="62" spans="1:11">
      <c r="A62" s="571"/>
      <c r="B62" s="591" t="s">
        <v>1134</v>
      </c>
      <c r="C62" s="581"/>
      <c r="D62" s="583"/>
      <c r="E62" s="583"/>
      <c r="F62" s="600">
        <f>-+'ביאור 5'!L26</f>
        <v>0</v>
      </c>
      <c r="G62" s="583"/>
      <c r="H62" s="600">
        <f>-'ביאור 5'!L14</f>
        <v>0</v>
      </c>
      <c r="I62" s="590"/>
      <c r="J62" s="571"/>
      <c r="K62" s="569"/>
    </row>
    <row r="63" spans="1:11">
      <c r="A63" s="571"/>
      <c r="B63" s="595" t="s">
        <v>350</v>
      </c>
      <c r="C63" s="581"/>
      <c r="D63" s="583"/>
      <c r="E63" s="583"/>
      <c r="F63" s="596"/>
      <c r="G63" s="583"/>
      <c r="H63" s="596"/>
      <c r="I63" s="590"/>
      <c r="J63" s="571"/>
      <c r="K63" s="569"/>
    </row>
    <row r="64" spans="1:11">
      <c r="A64" s="571"/>
      <c r="B64" s="595" t="s">
        <v>350</v>
      </c>
      <c r="C64" s="581"/>
      <c r="D64" s="583"/>
      <c r="E64" s="583"/>
      <c r="F64" s="597"/>
      <c r="G64" s="583"/>
      <c r="H64" s="597"/>
      <c r="I64" s="590"/>
      <c r="J64" s="571"/>
      <c r="K64" s="569"/>
    </row>
    <row r="65" spans="1:11" ht="13.8" thickBot="1">
      <c r="A65" s="571"/>
      <c r="B65" s="591" t="s">
        <v>551</v>
      </c>
      <c r="C65" s="581"/>
      <c r="D65" s="583"/>
      <c r="E65" s="583"/>
      <c r="F65" s="598">
        <f>SUM(F58:F64)</f>
        <v>17375</v>
      </c>
      <c r="G65" s="583"/>
      <c r="H65" s="598">
        <f>SUM(H58:H64)</f>
        <v>41</v>
      </c>
      <c r="I65" s="590"/>
      <c r="J65" s="571"/>
      <c r="K65" s="569"/>
    </row>
    <row r="66" spans="1:11" ht="13.8" thickTop="1">
      <c r="A66" s="571"/>
      <c r="B66" s="591"/>
      <c r="C66" s="581"/>
      <c r="D66" s="583"/>
      <c r="E66" s="583"/>
      <c r="F66" s="599"/>
      <c r="G66" s="583"/>
      <c r="H66" s="599"/>
      <c r="I66" s="590"/>
      <c r="J66" s="571"/>
      <c r="K66" s="569"/>
    </row>
    <row r="67" spans="1:11">
      <c r="A67" s="571"/>
      <c r="B67" s="587" t="s">
        <v>549</v>
      </c>
      <c r="C67" s="581"/>
      <c r="D67" s="588">
        <v>7</v>
      </c>
      <c r="E67" s="583"/>
      <c r="F67" s="599"/>
      <c r="G67" s="583"/>
      <c r="H67" s="599"/>
      <c r="I67" s="590"/>
      <c r="J67" s="571"/>
      <c r="K67" s="569"/>
    </row>
    <row r="68" spans="1:11">
      <c r="A68" s="571"/>
      <c r="B68" s="595" t="s">
        <v>350</v>
      </c>
      <c r="C68" s="581"/>
      <c r="D68" s="583"/>
      <c r="E68" s="583"/>
      <c r="F68" s="596"/>
      <c r="G68" s="583"/>
      <c r="H68" s="596"/>
      <c r="I68" s="590"/>
      <c r="J68" s="571"/>
      <c r="K68" s="569"/>
    </row>
    <row r="69" spans="1:11">
      <c r="A69" s="571"/>
      <c r="B69" s="595" t="s">
        <v>350</v>
      </c>
      <c r="C69" s="581"/>
      <c r="D69" s="583"/>
      <c r="E69" s="583"/>
      <c r="F69" s="596"/>
      <c r="G69" s="583"/>
      <c r="H69" s="596"/>
      <c r="I69" s="590"/>
      <c r="J69" s="571"/>
      <c r="K69" s="569"/>
    </row>
    <row r="70" spans="1:11">
      <c r="A70" s="571"/>
      <c r="B70" s="595" t="s">
        <v>350</v>
      </c>
      <c r="C70" s="581"/>
      <c r="D70" s="583"/>
      <c r="E70" s="583"/>
      <c r="F70" s="596"/>
      <c r="G70" s="583"/>
      <c r="H70" s="596"/>
      <c r="I70" s="590"/>
      <c r="J70" s="571"/>
      <c r="K70" s="569"/>
    </row>
    <row r="71" spans="1:11">
      <c r="A71" s="571"/>
      <c r="B71" s="595" t="s">
        <v>350</v>
      </c>
      <c r="C71" s="581"/>
      <c r="D71" s="583"/>
      <c r="E71" s="583"/>
      <c r="F71" s="596"/>
      <c r="G71" s="583"/>
      <c r="H71" s="596"/>
      <c r="I71" s="590"/>
      <c r="J71" s="571"/>
      <c r="K71" s="569"/>
    </row>
    <row r="72" spans="1:11">
      <c r="A72" s="571"/>
      <c r="B72" s="595" t="s">
        <v>350</v>
      </c>
      <c r="C72" s="581"/>
      <c r="D72" s="583"/>
      <c r="E72" s="583"/>
      <c r="F72" s="602"/>
      <c r="G72" s="583"/>
      <c r="H72" s="602"/>
      <c r="I72" s="590"/>
      <c r="J72" s="571"/>
      <c r="K72" s="569"/>
    </row>
    <row r="73" spans="1:11" ht="13.8" thickBot="1">
      <c r="A73" s="571"/>
      <c r="B73" s="591" t="s">
        <v>551</v>
      </c>
      <c r="C73" s="581"/>
      <c r="D73" s="583"/>
      <c r="E73" s="583"/>
      <c r="F73" s="598">
        <f>SUM(F68:F72)</f>
        <v>0</v>
      </c>
      <c r="G73" s="583"/>
      <c r="H73" s="598">
        <f>SUM(H68:H72)</f>
        <v>0</v>
      </c>
      <c r="I73" s="590"/>
      <c r="J73" s="571"/>
      <c r="K73" s="569"/>
    </row>
    <row r="74" spans="1:11" ht="13.8" thickTop="1">
      <c r="A74" s="571"/>
      <c r="B74" s="591"/>
      <c r="C74" s="581"/>
      <c r="D74" s="583"/>
      <c r="E74" s="583"/>
      <c r="F74" s="599"/>
      <c r="G74" s="583"/>
      <c r="H74" s="599"/>
      <c r="I74" s="590"/>
      <c r="J74" s="571"/>
      <c r="K74" s="569"/>
    </row>
    <row r="75" spans="1:11">
      <c r="A75" s="571"/>
      <c r="B75" s="587" t="s">
        <v>549</v>
      </c>
      <c r="C75" s="581"/>
      <c r="D75" s="588">
        <v>8</v>
      </c>
      <c r="E75" s="583"/>
      <c r="F75" s="599"/>
      <c r="G75" s="583"/>
      <c r="H75" s="599"/>
      <c r="I75" s="590"/>
      <c r="J75" s="571"/>
      <c r="K75" s="569"/>
    </row>
    <row r="76" spans="1:11">
      <c r="A76" s="571"/>
      <c r="B76" s="595" t="s">
        <v>350</v>
      </c>
      <c r="C76" s="581"/>
      <c r="D76" s="583"/>
      <c r="E76" s="583"/>
      <c r="F76" s="596"/>
      <c r="G76" s="583"/>
      <c r="H76" s="596"/>
      <c r="I76" s="590"/>
      <c r="J76" s="571"/>
      <c r="K76" s="569"/>
    </row>
    <row r="77" spans="1:11">
      <c r="A77" s="571"/>
      <c r="B77" s="595" t="s">
        <v>350</v>
      </c>
      <c r="C77" s="581"/>
      <c r="D77" s="583"/>
      <c r="E77" s="583"/>
      <c r="F77" s="596"/>
      <c r="G77" s="583"/>
      <c r="H77" s="596"/>
      <c r="I77" s="590"/>
      <c r="J77" s="571"/>
      <c r="K77" s="569"/>
    </row>
    <row r="78" spans="1:11">
      <c r="A78" s="571"/>
      <c r="B78" s="595" t="s">
        <v>350</v>
      </c>
      <c r="C78" s="581"/>
      <c r="D78" s="583"/>
      <c r="E78" s="583"/>
      <c r="F78" s="596"/>
      <c r="G78" s="583"/>
      <c r="H78" s="596"/>
      <c r="I78" s="590"/>
      <c r="J78" s="571"/>
      <c r="K78" s="569"/>
    </row>
    <row r="79" spans="1:11">
      <c r="A79" s="571"/>
      <c r="B79" s="595" t="s">
        <v>350</v>
      </c>
      <c r="C79" s="581"/>
      <c r="D79" s="583"/>
      <c r="E79" s="583"/>
      <c r="F79" s="596"/>
      <c r="G79" s="583"/>
      <c r="H79" s="596"/>
      <c r="I79" s="590"/>
      <c r="J79" s="571"/>
      <c r="K79" s="569"/>
    </row>
    <row r="80" spans="1:11">
      <c r="A80" s="571"/>
      <c r="B80" s="595" t="s">
        <v>350</v>
      </c>
      <c r="C80" s="581"/>
      <c r="D80" s="583"/>
      <c r="E80" s="583"/>
      <c r="F80" s="602"/>
      <c r="G80" s="583"/>
      <c r="H80" s="602"/>
      <c r="I80" s="590"/>
      <c r="J80" s="571"/>
      <c r="K80" s="569"/>
    </row>
    <row r="81" spans="1:11" ht="13.8" thickBot="1">
      <c r="A81" s="571"/>
      <c r="B81" s="591" t="s">
        <v>551</v>
      </c>
      <c r="C81" s="581"/>
      <c r="D81" s="583"/>
      <c r="E81" s="583"/>
      <c r="F81" s="598">
        <f>SUM(F76:F80)</f>
        <v>0</v>
      </c>
      <c r="G81" s="583"/>
      <c r="H81" s="598">
        <f>SUM(H76:H80)</f>
        <v>0</v>
      </c>
      <c r="I81" s="590"/>
      <c r="J81" s="571"/>
      <c r="K81" s="569"/>
    </row>
    <row r="82" spans="1:11" ht="13.8" thickTop="1">
      <c r="A82" s="571"/>
      <c r="B82" s="591"/>
      <c r="C82" s="581"/>
      <c r="D82" s="583"/>
      <c r="E82" s="583"/>
      <c r="F82" s="599"/>
      <c r="G82" s="583"/>
      <c r="H82" s="599"/>
      <c r="I82" s="590"/>
      <c r="J82" s="571"/>
      <c r="K82" s="569"/>
    </row>
    <row r="83" spans="1:11" ht="13.5" customHeight="1">
      <c r="A83" s="571"/>
      <c r="B83" s="2948" t="s">
        <v>2151</v>
      </c>
      <c r="C83" s="581"/>
      <c r="D83" s="588">
        <v>9</v>
      </c>
      <c r="E83" s="583"/>
      <c r="F83" s="599"/>
      <c r="G83" s="583"/>
      <c r="H83" s="599"/>
      <c r="I83" s="590"/>
      <c r="J83" s="571"/>
      <c r="K83" s="569"/>
    </row>
    <row r="84" spans="1:11">
      <c r="A84" s="571"/>
      <c r="B84" s="591" t="s">
        <v>1135</v>
      </c>
      <c r="C84" s="581"/>
      <c r="D84" s="583"/>
      <c r="E84" s="583"/>
      <c r="F84" s="2644">
        <f>+'ביאור 5'!L26</f>
        <v>0</v>
      </c>
      <c r="G84" s="583"/>
      <c r="H84" s="2644">
        <f>+'ביאור 5'!L14</f>
        <v>0</v>
      </c>
      <c r="I84" s="590"/>
      <c r="J84" s="571"/>
      <c r="K84" s="569"/>
    </row>
    <row r="85" spans="1:11">
      <c r="A85" s="571"/>
      <c r="B85" s="595" t="s">
        <v>350</v>
      </c>
      <c r="C85" s="581"/>
      <c r="D85" s="583"/>
      <c r="E85" s="583"/>
      <c r="F85" s="596"/>
      <c r="G85" s="583"/>
      <c r="H85" s="596"/>
      <c r="I85" s="590"/>
      <c r="J85" s="571"/>
      <c r="K85" s="569"/>
    </row>
    <row r="86" spans="1:11">
      <c r="A86" s="571"/>
      <c r="B86" s="595" t="s">
        <v>350</v>
      </c>
      <c r="C86" s="581"/>
      <c r="D86" s="583"/>
      <c r="E86" s="583"/>
      <c r="F86" s="596"/>
      <c r="G86" s="583"/>
      <c r="H86" s="596"/>
      <c r="I86" s="590"/>
      <c r="J86" s="571"/>
      <c r="K86" s="569"/>
    </row>
    <row r="87" spans="1:11">
      <c r="A87" s="571"/>
      <c r="B87" s="595" t="s">
        <v>350</v>
      </c>
      <c r="C87" s="581"/>
      <c r="D87" s="583"/>
      <c r="E87" s="583"/>
      <c r="F87" s="596"/>
      <c r="G87" s="583"/>
      <c r="H87" s="596"/>
      <c r="I87" s="590"/>
      <c r="J87" s="571"/>
      <c r="K87" s="569"/>
    </row>
    <row r="88" spans="1:11">
      <c r="A88" s="571"/>
      <c r="B88" s="595" t="s">
        <v>350</v>
      </c>
      <c r="C88" s="581"/>
      <c r="D88" s="583"/>
      <c r="E88" s="583"/>
      <c r="F88" s="602"/>
      <c r="G88" s="583"/>
      <c r="H88" s="602"/>
      <c r="I88" s="590"/>
      <c r="J88" s="571"/>
      <c r="K88" s="569"/>
    </row>
    <row r="89" spans="1:11" ht="13.8" thickBot="1">
      <c r="A89" s="571"/>
      <c r="B89" s="591" t="s">
        <v>551</v>
      </c>
      <c r="C89" s="581"/>
      <c r="D89" s="583"/>
      <c r="E89" s="583"/>
      <c r="F89" s="598">
        <f>SUM(F84:F88)</f>
        <v>0</v>
      </c>
      <c r="G89" s="583"/>
      <c r="H89" s="598">
        <f>SUM(H84:H88)</f>
        <v>0</v>
      </c>
      <c r="I89" s="590"/>
      <c r="J89" s="571"/>
      <c r="K89" s="569"/>
    </row>
    <row r="90" spans="1:11" ht="13.8" thickTop="1">
      <c r="A90" s="571"/>
      <c r="B90" s="591"/>
      <c r="C90" s="581"/>
      <c r="D90" s="583"/>
      <c r="E90" s="583"/>
      <c r="F90" s="589"/>
      <c r="G90" s="583"/>
      <c r="H90" s="589"/>
      <c r="I90" s="590"/>
      <c r="J90" s="571"/>
      <c r="K90" s="569"/>
    </row>
    <row r="91" spans="1:11">
      <c r="A91" s="571"/>
      <c r="B91" s="587" t="s">
        <v>549</v>
      </c>
      <c r="C91" s="581"/>
      <c r="D91" s="588">
        <v>10</v>
      </c>
      <c r="E91" s="583"/>
      <c r="F91" s="599"/>
      <c r="G91" s="583"/>
      <c r="H91" s="599"/>
      <c r="I91" s="590"/>
      <c r="J91" s="571"/>
      <c r="K91" s="569"/>
    </row>
    <row r="92" spans="1:11">
      <c r="A92" s="571"/>
      <c r="B92" s="595" t="s">
        <v>350</v>
      </c>
      <c r="C92" s="581"/>
      <c r="D92" s="583"/>
      <c r="E92" s="583"/>
      <c r="F92" s="596"/>
      <c r="G92" s="583"/>
      <c r="H92" s="596"/>
      <c r="I92" s="590"/>
      <c r="J92" s="571"/>
      <c r="K92" s="569"/>
    </row>
    <row r="93" spans="1:11">
      <c r="A93" s="571"/>
      <c r="B93" s="595" t="s">
        <v>350</v>
      </c>
      <c r="C93" s="581"/>
      <c r="D93" s="583"/>
      <c r="E93" s="583"/>
      <c r="F93" s="596"/>
      <c r="G93" s="583"/>
      <c r="H93" s="596"/>
      <c r="I93" s="590"/>
      <c r="J93" s="571"/>
      <c r="K93" s="569"/>
    </row>
    <row r="94" spans="1:11">
      <c r="A94" s="571"/>
      <c r="B94" s="595" t="s">
        <v>350</v>
      </c>
      <c r="C94" s="581"/>
      <c r="D94" s="583"/>
      <c r="E94" s="583"/>
      <c r="F94" s="596"/>
      <c r="G94" s="583"/>
      <c r="H94" s="596"/>
      <c r="I94" s="590"/>
      <c r="J94" s="571"/>
      <c r="K94" s="569"/>
    </row>
    <row r="95" spans="1:11">
      <c r="A95" s="571"/>
      <c r="B95" s="595" t="s">
        <v>350</v>
      </c>
      <c r="C95" s="581"/>
      <c r="D95" s="583"/>
      <c r="E95" s="583"/>
      <c r="F95" s="596"/>
      <c r="G95" s="583"/>
      <c r="H95" s="596"/>
      <c r="I95" s="590"/>
      <c r="J95" s="571"/>
      <c r="K95" s="569"/>
    </row>
    <row r="96" spans="1:11">
      <c r="A96" s="571"/>
      <c r="B96" s="595" t="s">
        <v>350</v>
      </c>
      <c r="C96" s="581"/>
      <c r="D96" s="583"/>
      <c r="E96" s="583"/>
      <c r="F96" s="602"/>
      <c r="G96" s="583"/>
      <c r="H96" s="602"/>
      <c r="I96" s="590"/>
      <c r="J96" s="571"/>
      <c r="K96" s="569"/>
    </row>
    <row r="97" spans="1:11" ht="13.8" thickBot="1">
      <c r="A97" s="571"/>
      <c r="B97" s="591" t="s">
        <v>551</v>
      </c>
      <c r="C97" s="581"/>
      <c r="D97" s="583"/>
      <c r="E97" s="583"/>
      <c r="F97" s="598">
        <f>SUM(F92:F96)</f>
        <v>0</v>
      </c>
      <c r="G97" s="583"/>
      <c r="H97" s="598">
        <f>SUM(H92:H96)</f>
        <v>0</v>
      </c>
      <c r="I97" s="590"/>
      <c r="J97" s="571"/>
      <c r="K97" s="569"/>
    </row>
    <row r="98" spans="1:11" ht="13.8" thickTop="1">
      <c r="A98" s="571"/>
      <c r="B98" s="591"/>
      <c r="C98" s="581"/>
      <c r="D98" s="583"/>
      <c r="E98" s="583"/>
      <c r="F98" s="589"/>
      <c r="G98" s="583"/>
      <c r="H98" s="589"/>
      <c r="I98" s="590"/>
      <c r="J98" s="571"/>
      <c r="K98" s="569"/>
    </row>
    <row r="99" spans="1:11">
      <c r="A99" s="571"/>
      <c r="B99" s="3456" t="str">
        <f>IF(F99&lt;0,"קיטון בקרן לעבודות פיתוח שנה קודמת","גידול בקרן לעבודות פיתוח שנה קודמת")</f>
        <v>גידול בקרן לעבודות פיתוח שנה קודמת</v>
      </c>
      <c r="C99" s="3450"/>
      <c r="D99" s="3450"/>
      <c r="E99" s="583"/>
      <c r="F99" s="594">
        <f>+'ביאור 5'!P14-'ביאור 5'!C14</f>
        <v>49773</v>
      </c>
      <c r="G99" s="583"/>
      <c r="H99" s="583"/>
      <c r="I99" s="604"/>
      <c r="J99" s="571"/>
      <c r="K99" s="569"/>
    </row>
    <row r="100" spans="1:11">
      <c r="A100" s="571"/>
      <c r="B100" s="605"/>
      <c r="C100" s="606"/>
      <c r="D100" s="607"/>
      <c r="E100" s="607"/>
      <c r="F100" s="608"/>
      <c r="G100" s="607"/>
      <c r="H100" s="608"/>
      <c r="I100" s="609"/>
      <c r="J100" s="571"/>
      <c r="K100" s="569"/>
    </row>
    <row r="101" spans="1:11" ht="13.8" thickBot="1">
      <c r="A101" s="367"/>
      <c r="B101" s="367"/>
      <c r="C101" s="367"/>
      <c r="D101" s="571"/>
      <c r="E101" s="571"/>
      <c r="F101" s="610"/>
      <c r="G101" s="571"/>
      <c r="H101" s="610"/>
      <c r="I101" s="571"/>
      <c r="J101" s="571"/>
      <c r="K101" s="569"/>
    </row>
    <row r="102" spans="1:11" ht="13.8" thickTop="1">
      <c r="A102" s="611"/>
      <c r="B102" s="612"/>
      <c r="C102" s="612"/>
      <c r="D102" s="611"/>
      <c r="E102" s="611"/>
      <c r="F102" s="613"/>
      <c r="G102" s="611"/>
      <c r="H102" s="613"/>
      <c r="I102" s="611"/>
      <c r="J102" s="611"/>
    </row>
    <row r="103" spans="1:11">
      <c r="B103" s="614"/>
    </row>
    <row r="209" spans="2:9" ht="21.75" customHeight="1">
      <c r="B209" s="3453" t="str">
        <f>F1</f>
        <v>עירית הרצליה</v>
      </c>
      <c r="C209" s="3455"/>
      <c r="D209" s="3455"/>
      <c r="E209" s="3455"/>
      <c r="F209" s="3455"/>
      <c r="G209" s="3455"/>
      <c r="H209" s="3455"/>
      <c r="I209" s="617"/>
    </row>
    <row r="210" spans="2:9" ht="15.6">
      <c r="B210" s="3453" t="str">
        <f>F2</f>
        <v>התאמה בין הדוחות הכספיים ליתרות הנ"ל</v>
      </c>
      <c r="C210" s="3454"/>
      <c r="D210" s="3454"/>
      <c r="E210" s="3454"/>
      <c r="F210" s="3454"/>
      <c r="G210" s="3454"/>
      <c r="H210" s="3454"/>
    </row>
    <row r="211" spans="2:9">
      <c r="D211" s="615"/>
      <c r="E211" s="615"/>
      <c r="F211" s="615"/>
      <c r="G211" s="615"/>
      <c r="H211" s="615"/>
      <c r="I211" s="615"/>
    </row>
    <row r="213" spans="2:9">
      <c r="B213" s="618">
        <f t="shared" ref="B213:I215" si="0">B6</f>
        <v>0</v>
      </c>
      <c r="C213" s="619">
        <f t="shared" si="0"/>
        <v>0</v>
      </c>
      <c r="D213" s="620">
        <f t="shared" si="0"/>
        <v>0</v>
      </c>
      <c r="E213" s="621">
        <f t="shared" si="0"/>
        <v>0</v>
      </c>
      <c r="F213" s="621">
        <f t="shared" si="0"/>
        <v>0</v>
      </c>
      <c r="G213" s="622">
        <f t="shared" si="0"/>
        <v>0</v>
      </c>
      <c r="H213" s="623">
        <f t="shared" si="0"/>
        <v>0</v>
      </c>
      <c r="I213" s="622">
        <f t="shared" si="0"/>
        <v>0</v>
      </c>
    </row>
    <row r="214" spans="2:9" ht="14.25" customHeight="1">
      <c r="B214" s="624" t="str">
        <f t="shared" si="0"/>
        <v>התאמה מס':</v>
      </c>
      <c r="C214" s="619">
        <f t="shared" si="0"/>
        <v>0</v>
      </c>
      <c r="D214" s="625">
        <f t="shared" si="0"/>
        <v>1</v>
      </c>
      <c r="E214" s="621">
        <f t="shared" si="0"/>
        <v>0</v>
      </c>
      <c r="F214" s="626">
        <f t="shared" si="0"/>
        <v>0</v>
      </c>
      <c r="G214" s="621">
        <f t="shared" si="0"/>
        <v>0</v>
      </c>
      <c r="H214" s="626">
        <f t="shared" si="0"/>
        <v>0</v>
      </c>
      <c r="I214" s="621">
        <f t="shared" si="0"/>
        <v>0</v>
      </c>
    </row>
    <row r="215" spans="2:9" ht="18.75" customHeight="1">
      <c r="B215" s="627">
        <f t="shared" si="0"/>
        <v>0</v>
      </c>
      <c r="C215" s="619">
        <f t="shared" si="0"/>
        <v>0</v>
      </c>
      <c r="D215" s="621">
        <f t="shared" si="0"/>
        <v>0</v>
      </c>
      <c r="E215" s="621">
        <f t="shared" si="0"/>
        <v>0</v>
      </c>
      <c r="F215" s="628" t="str">
        <f t="shared" si="0"/>
        <v>2015 - באלפי ש"ח</v>
      </c>
      <c r="G215" s="625">
        <f t="shared" si="0"/>
        <v>0</v>
      </c>
      <c r="H215" s="629" t="str">
        <f t="shared" si="0"/>
        <v>2014 - באלפי ש"ח</v>
      </c>
      <c r="I215" s="621">
        <f t="shared" si="0"/>
        <v>0</v>
      </c>
    </row>
    <row r="216" spans="2:9">
      <c r="B216" s="627" t="str">
        <f>IF(AND($F9=0,$H9=0),"",$B9)</f>
        <v>סה"כ הכנסות בתקציב הרגיל:</v>
      </c>
      <c r="C216" s="619">
        <f t="shared" ref="C216:H225" si="1">C9</f>
        <v>0</v>
      </c>
      <c r="D216" s="621">
        <f t="shared" si="1"/>
        <v>0</v>
      </c>
      <c r="E216" s="621">
        <f t="shared" si="1"/>
        <v>0</v>
      </c>
      <c r="F216" s="630">
        <f t="shared" si="1"/>
        <v>853785</v>
      </c>
      <c r="G216" s="631">
        <f t="shared" si="1"/>
        <v>0</v>
      </c>
      <c r="H216" s="630">
        <f t="shared" si="1"/>
        <v>795695</v>
      </c>
      <c r="I216" s="621">
        <f t="shared" ref="I216:I225" si="2">I9</f>
        <v>0</v>
      </c>
    </row>
    <row r="217" spans="2:9">
      <c r="B217" s="627" t="str">
        <f>IF(AND($B10&lt;&gt;"(***)",OR($F10&lt;&gt;0,$H10&lt;&gt;0)),$B10,"")</f>
        <v>העברות מקרנות פיתוח</v>
      </c>
      <c r="C217" s="619">
        <f t="shared" si="1"/>
        <v>0</v>
      </c>
      <c r="D217" s="621">
        <f t="shared" si="1"/>
        <v>0</v>
      </c>
      <c r="E217" s="621">
        <f t="shared" si="1"/>
        <v>0</v>
      </c>
      <c r="F217" s="630">
        <f t="shared" si="1"/>
        <v>-30392</v>
      </c>
      <c r="G217" s="631">
        <f t="shared" si="1"/>
        <v>0</v>
      </c>
      <c r="H217" s="630">
        <f t="shared" si="1"/>
        <v>-38163</v>
      </c>
      <c r="I217" s="621">
        <f t="shared" si="2"/>
        <v>0</v>
      </c>
    </row>
    <row r="218" spans="2:9">
      <c r="B218" s="627" t="str">
        <f>IF(AND($B11&lt;&gt;"(***)",OR($F11&lt;&gt;0,$H11&lt;&gt;0)),$B11,"")</f>
        <v/>
      </c>
      <c r="C218" s="619">
        <f t="shared" si="1"/>
        <v>0</v>
      </c>
      <c r="D218" s="621">
        <f t="shared" si="1"/>
        <v>0</v>
      </c>
      <c r="E218" s="621">
        <f t="shared" si="1"/>
        <v>0</v>
      </c>
      <c r="F218" s="630">
        <f t="shared" si="1"/>
        <v>0</v>
      </c>
      <c r="G218" s="631">
        <f t="shared" si="1"/>
        <v>0</v>
      </c>
      <c r="H218" s="630">
        <f t="shared" si="1"/>
        <v>0</v>
      </c>
      <c r="I218" s="621">
        <f t="shared" si="2"/>
        <v>0</v>
      </c>
    </row>
    <row r="219" spans="2:9">
      <c r="B219" s="627" t="str">
        <f>IF(AND($B12&lt;&gt;"(***)",OR($F12&lt;&gt;0,$H12&lt;&gt;0)),$B12,"")</f>
        <v/>
      </c>
      <c r="C219" s="619">
        <f t="shared" si="1"/>
        <v>0</v>
      </c>
      <c r="D219" s="621">
        <f t="shared" si="1"/>
        <v>0</v>
      </c>
      <c r="E219" s="621">
        <f t="shared" si="1"/>
        <v>0</v>
      </c>
      <c r="F219" s="630">
        <f t="shared" si="1"/>
        <v>0</v>
      </c>
      <c r="G219" s="631">
        <f t="shared" si="1"/>
        <v>0</v>
      </c>
      <c r="H219" s="630">
        <f t="shared" si="1"/>
        <v>0</v>
      </c>
      <c r="I219" s="621">
        <f t="shared" si="2"/>
        <v>0</v>
      </c>
    </row>
    <row r="220" spans="2:9">
      <c r="B220" s="627" t="str">
        <f>IF(AND($B13&lt;&gt;"(***)",OR($F13&lt;&gt;0,$H13&lt;&gt;0)),$B13,"")</f>
        <v/>
      </c>
      <c r="C220" s="619">
        <f t="shared" si="1"/>
        <v>0</v>
      </c>
      <c r="D220" s="621">
        <f t="shared" si="1"/>
        <v>0</v>
      </c>
      <c r="E220" s="621">
        <f t="shared" si="1"/>
        <v>0</v>
      </c>
      <c r="F220" s="630">
        <f t="shared" si="1"/>
        <v>0</v>
      </c>
      <c r="G220" s="631">
        <f t="shared" si="1"/>
        <v>0</v>
      </c>
      <c r="H220" s="630">
        <f t="shared" si="1"/>
        <v>0</v>
      </c>
      <c r="I220" s="621">
        <f t="shared" si="2"/>
        <v>0</v>
      </c>
    </row>
    <row r="221" spans="2:9">
      <c r="B221" s="627" t="str">
        <f>IF(AND($B14&lt;&gt;"(***)",OR($F14&lt;&gt;0,$H14&lt;&gt;0)),$B14,"")</f>
        <v/>
      </c>
      <c r="C221" s="619">
        <f t="shared" si="1"/>
        <v>0</v>
      </c>
      <c r="D221" s="621">
        <f t="shared" si="1"/>
        <v>0</v>
      </c>
      <c r="E221" s="621">
        <f t="shared" si="1"/>
        <v>0</v>
      </c>
      <c r="F221" s="632">
        <f t="shared" si="1"/>
        <v>0</v>
      </c>
      <c r="G221" s="631">
        <f t="shared" si="1"/>
        <v>0</v>
      </c>
      <c r="H221" s="632">
        <f t="shared" si="1"/>
        <v>0</v>
      </c>
      <c r="I221" s="621">
        <f t="shared" si="2"/>
        <v>0</v>
      </c>
    </row>
    <row r="222" spans="2:9" ht="13.8" thickBot="1">
      <c r="B222" s="627" t="str">
        <f>IF(AND($F15=0,$H15=0),"",$B15)</f>
        <v>סה"כ נטו</v>
      </c>
      <c r="C222" s="619">
        <f t="shared" si="1"/>
        <v>0</v>
      </c>
      <c r="D222" s="621">
        <f t="shared" si="1"/>
        <v>0</v>
      </c>
      <c r="E222" s="621">
        <f t="shared" si="1"/>
        <v>0</v>
      </c>
      <c r="F222" s="633">
        <f t="shared" si="1"/>
        <v>823393</v>
      </c>
      <c r="G222" s="631">
        <f t="shared" si="1"/>
        <v>0</v>
      </c>
      <c r="H222" s="633">
        <f t="shared" si="1"/>
        <v>757532</v>
      </c>
      <c r="I222" s="621">
        <f t="shared" si="2"/>
        <v>0</v>
      </c>
    </row>
    <row r="223" spans="2:9" ht="13.8" thickTop="1">
      <c r="B223" s="627">
        <f>B16</f>
        <v>0</v>
      </c>
      <c r="C223" s="619">
        <f t="shared" si="1"/>
        <v>0</v>
      </c>
      <c r="D223" s="621">
        <f t="shared" si="1"/>
        <v>0</v>
      </c>
      <c r="E223" s="621">
        <f t="shared" si="1"/>
        <v>0</v>
      </c>
      <c r="F223" s="630">
        <f t="shared" si="1"/>
        <v>0</v>
      </c>
      <c r="G223" s="631">
        <f t="shared" si="1"/>
        <v>0</v>
      </c>
      <c r="H223" s="630">
        <f t="shared" si="1"/>
        <v>0</v>
      </c>
      <c r="I223" s="621">
        <f t="shared" si="2"/>
        <v>0</v>
      </c>
    </row>
    <row r="224" spans="2:9">
      <c r="B224" s="624" t="str">
        <f>B17</f>
        <v>התאמה מס':</v>
      </c>
      <c r="C224" s="619">
        <f t="shared" si="1"/>
        <v>0</v>
      </c>
      <c r="D224" s="625">
        <f t="shared" si="1"/>
        <v>2</v>
      </c>
      <c r="E224" s="621">
        <f t="shared" si="1"/>
        <v>0</v>
      </c>
      <c r="F224" s="630">
        <f t="shared" si="1"/>
        <v>0</v>
      </c>
      <c r="G224" s="631">
        <f t="shared" si="1"/>
        <v>0</v>
      </c>
      <c r="H224" s="630">
        <f t="shared" si="1"/>
        <v>0</v>
      </c>
      <c r="I224" s="621">
        <f t="shared" si="2"/>
        <v>0</v>
      </c>
    </row>
    <row r="225" spans="2:9">
      <c r="B225" s="627">
        <f>B18</f>
        <v>0</v>
      </c>
      <c r="C225" s="619">
        <f t="shared" si="1"/>
        <v>0</v>
      </c>
      <c r="D225" s="621">
        <f t="shared" si="1"/>
        <v>0</v>
      </c>
      <c r="E225" s="621">
        <f t="shared" si="1"/>
        <v>0</v>
      </c>
      <c r="F225" s="630">
        <f t="shared" si="1"/>
        <v>0</v>
      </c>
      <c r="G225" s="631">
        <f t="shared" si="1"/>
        <v>0</v>
      </c>
      <c r="H225" s="630">
        <f t="shared" si="1"/>
        <v>0</v>
      </c>
      <c r="I225" s="621">
        <f t="shared" si="2"/>
        <v>0</v>
      </c>
    </row>
    <row r="226" spans="2:9">
      <c r="B226" s="3445" t="str">
        <f>IF(AND($F19=0,$H19=0),"",$B19)</f>
        <v>סה"כ הכנסות בתקציב הבלתי הרגיל:</v>
      </c>
      <c r="C226" s="3445"/>
      <c r="D226" s="621">
        <f t="shared" ref="D226:H235" si="3">D19</f>
        <v>0</v>
      </c>
      <c r="E226" s="621">
        <f t="shared" si="3"/>
        <v>0</v>
      </c>
      <c r="F226" s="630">
        <f t="shared" si="3"/>
        <v>321430</v>
      </c>
      <c r="G226" s="631">
        <f t="shared" si="3"/>
        <v>0</v>
      </c>
      <c r="H226" s="630">
        <f t="shared" si="3"/>
        <v>254652</v>
      </c>
      <c r="I226" s="621">
        <f t="shared" ref="I226:I235" si="4">I19</f>
        <v>0</v>
      </c>
    </row>
    <row r="227" spans="2:9">
      <c r="B227" s="627" t="str">
        <f>IF(AND($B20&lt;&gt;"(***)",OR($F20&lt;&gt;0,$H20&lt;&gt;0)),$B20,"")</f>
        <v>העברות מקרנות פיתוח</v>
      </c>
      <c r="C227" s="619">
        <f t="shared" ref="C227:C252" si="5">C20</f>
        <v>0</v>
      </c>
      <c r="D227" s="621">
        <f t="shared" si="3"/>
        <v>0</v>
      </c>
      <c r="E227" s="621">
        <f t="shared" si="3"/>
        <v>0</v>
      </c>
      <c r="F227" s="630">
        <f t="shared" si="3"/>
        <v>-282120</v>
      </c>
      <c r="G227" s="631">
        <f t="shared" si="3"/>
        <v>0</v>
      </c>
      <c r="H227" s="630">
        <f t="shared" si="3"/>
        <v>-229573</v>
      </c>
      <c r="I227" s="621">
        <f t="shared" si="4"/>
        <v>0</v>
      </c>
    </row>
    <row r="228" spans="2:9">
      <c r="B228" s="627" t="str">
        <f>IF(AND($B21&lt;&gt;"(***)",OR($F21&lt;&gt;0,$H21&lt;&gt;0)),$B21,"")</f>
        <v/>
      </c>
      <c r="C228" s="619">
        <f t="shared" si="5"/>
        <v>0</v>
      </c>
      <c r="D228" s="621">
        <f t="shared" si="3"/>
        <v>0</v>
      </c>
      <c r="E228" s="621">
        <f t="shared" si="3"/>
        <v>0</v>
      </c>
      <c r="F228" s="630">
        <f t="shared" si="3"/>
        <v>0</v>
      </c>
      <c r="G228" s="631">
        <f t="shared" si="3"/>
        <v>0</v>
      </c>
      <c r="H228" s="630">
        <f t="shared" si="3"/>
        <v>0</v>
      </c>
      <c r="I228" s="621">
        <f t="shared" si="4"/>
        <v>0</v>
      </c>
    </row>
    <row r="229" spans="2:9">
      <c r="B229" s="627" t="str">
        <f>IF(AND($B22&lt;&gt;"(***)",OR($F22&lt;&gt;0,$H22&lt;&gt;0)),$B22,"")</f>
        <v/>
      </c>
      <c r="C229" s="619">
        <f t="shared" si="5"/>
        <v>0</v>
      </c>
      <c r="D229" s="621">
        <f t="shared" si="3"/>
        <v>0</v>
      </c>
      <c r="E229" s="621">
        <f t="shared" si="3"/>
        <v>0</v>
      </c>
      <c r="F229" s="630">
        <f t="shared" si="3"/>
        <v>0</v>
      </c>
      <c r="G229" s="631">
        <f t="shared" si="3"/>
        <v>0</v>
      </c>
      <c r="H229" s="630">
        <f t="shared" si="3"/>
        <v>0</v>
      </c>
      <c r="I229" s="621">
        <f t="shared" si="4"/>
        <v>0</v>
      </c>
    </row>
    <row r="230" spans="2:9">
      <c r="B230" s="627" t="str">
        <f>IF(AND($B23&lt;&gt;"(***)",OR($F23&lt;&gt;0,$H23&lt;&gt;0)),$B23,"")</f>
        <v/>
      </c>
      <c r="C230" s="619">
        <f t="shared" si="5"/>
        <v>0</v>
      </c>
      <c r="D230" s="621">
        <f t="shared" si="3"/>
        <v>0</v>
      </c>
      <c r="E230" s="621">
        <f t="shared" si="3"/>
        <v>0</v>
      </c>
      <c r="F230" s="630">
        <f t="shared" si="3"/>
        <v>0</v>
      </c>
      <c r="G230" s="631">
        <f t="shared" si="3"/>
        <v>0</v>
      </c>
      <c r="H230" s="630">
        <f t="shared" si="3"/>
        <v>0</v>
      </c>
      <c r="I230" s="621">
        <f t="shared" si="4"/>
        <v>0</v>
      </c>
    </row>
    <row r="231" spans="2:9">
      <c r="B231" s="627" t="str">
        <f>IF(AND($B24&lt;&gt;"(***)",OR($F24&lt;&gt;0,$H24&lt;&gt;0)),$B24,"")</f>
        <v/>
      </c>
      <c r="C231" s="619">
        <f t="shared" si="5"/>
        <v>0</v>
      </c>
      <c r="D231" s="621">
        <f t="shared" si="3"/>
        <v>0</v>
      </c>
      <c r="E231" s="621">
        <f t="shared" si="3"/>
        <v>0</v>
      </c>
      <c r="F231" s="632">
        <f t="shared" si="3"/>
        <v>0</v>
      </c>
      <c r="G231" s="631">
        <f t="shared" si="3"/>
        <v>0</v>
      </c>
      <c r="H231" s="632">
        <f t="shared" si="3"/>
        <v>0</v>
      </c>
      <c r="I231" s="621">
        <f t="shared" si="4"/>
        <v>0</v>
      </c>
    </row>
    <row r="232" spans="2:9" ht="13.8" thickBot="1">
      <c r="B232" s="627" t="str">
        <f>IF(AND($F25=0,$H25=0),"",$B25)</f>
        <v>סה"כ נטו</v>
      </c>
      <c r="C232" s="619">
        <f t="shared" si="5"/>
        <v>0</v>
      </c>
      <c r="D232" s="621">
        <f t="shared" si="3"/>
        <v>0</v>
      </c>
      <c r="E232" s="621">
        <f t="shared" si="3"/>
        <v>0</v>
      </c>
      <c r="F232" s="633">
        <f t="shared" si="3"/>
        <v>39310</v>
      </c>
      <c r="G232" s="631">
        <f t="shared" si="3"/>
        <v>0</v>
      </c>
      <c r="H232" s="633">
        <f t="shared" si="3"/>
        <v>25079</v>
      </c>
      <c r="I232" s="621">
        <f t="shared" si="4"/>
        <v>0</v>
      </c>
    </row>
    <row r="233" spans="2:9" ht="13.8" thickTop="1">
      <c r="B233" s="627">
        <f>B26</f>
        <v>0</v>
      </c>
      <c r="C233" s="619">
        <f t="shared" si="5"/>
        <v>0</v>
      </c>
      <c r="D233" s="621">
        <f t="shared" si="3"/>
        <v>0</v>
      </c>
      <c r="E233" s="621">
        <f t="shared" si="3"/>
        <v>0</v>
      </c>
      <c r="F233" s="630">
        <f t="shared" si="3"/>
        <v>0</v>
      </c>
      <c r="G233" s="631">
        <f t="shared" si="3"/>
        <v>0</v>
      </c>
      <c r="H233" s="630">
        <f t="shared" si="3"/>
        <v>0</v>
      </c>
      <c r="I233" s="621">
        <f t="shared" si="4"/>
        <v>0</v>
      </c>
    </row>
    <row r="234" spans="2:9">
      <c r="B234" s="624" t="str">
        <f>B27</f>
        <v>התאמה מס':</v>
      </c>
      <c r="C234" s="619">
        <f t="shared" si="5"/>
        <v>0</v>
      </c>
      <c r="D234" s="625">
        <f t="shared" si="3"/>
        <v>3</v>
      </c>
      <c r="E234" s="621">
        <f t="shared" si="3"/>
        <v>0</v>
      </c>
      <c r="F234" s="630">
        <f t="shared" si="3"/>
        <v>0</v>
      </c>
      <c r="G234" s="631">
        <f t="shared" si="3"/>
        <v>0</v>
      </c>
      <c r="H234" s="630">
        <f t="shared" si="3"/>
        <v>0</v>
      </c>
      <c r="I234" s="621">
        <f t="shared" si="4"/>
        <v>0</v>
      </c>
    </row>
    <row r="235" spans="2:9">
      <c r="B235" s="627" t="str">
        <f>IF(AND($F28=0,$H28=0),"",$B28)</f>
        <v>תקבולים מקרן לעבודות פיתוח</v>
      </c>
      <c r="C235" s="619">
        <f t="shared" si="5"/>
        <v>0</v>
      </c>
      <c r="D235" s="621">
        <f t="shared" si="3"/>
        <v>0</v>
      </c>
      <c r="E235" s="621">
        <f t="shared" si="3"/>
        <v>0</v>
      </c>
      <c r="F235" s="630">
        <f t="shared" si="3"/>
        <v>547196</v>
      </c>
      <c r="G235" s="631">
        <f t="shared" si="3"/>
        <v>0</v>
      </c>
      <c r="H235" s="630">
        <f t="shared" si="3"/>
        <v>480450</v>
      </c>
      <c r="I235" s="621">
        <f t="shared" si="4"/>
        <v>0</v>
      </c>
    </row>
    <row r="236" spans="2:9">
      <c r="B236" s="627" t="str">
        <f>IF(AND($B29&lt;&gt;"(***)",OR($F29&lt;&gt;0,$H29&lt;&gt;0)),$B29,"")</f>
        <v>העברות מתב"רים</v>
      </c>
      <c r="C236" s="619">
        <f t="shared" si="5"/>
        <v>0</v>
      </c>
      <c r="D236" s="621">
        <f t="shared" ref="D236:H245" si="6">D29</f>
        <v>0</v>
      </c>
      <c r="E236" s="621">
        <f t="shared" si="6"/>
        <v>0</v>
      </c>
      <c r="F236" s="630">
        <f t="shared" si="6"/>
        <v>-4202</v>
      </c>
      <c r="G236" s="631">
        <f t="shared" si="6"/>
        <v>0</v>
      </c>
      <c r="H236" s="630">
        <f t="shared" si="6"/>
        <v>-5987</v>
      </c>
      <c r="I236" s="621">
        <f t="shared" ref="I236:I245" si="7">I29</f>
        <v>0</v>
      </c>
    </row>
    <row r="237" spans="2:9">
      <c r="B237" s="627" t="str">
        <f>IF(AND($B30&lt;&gt;"(***)",OR($F30&lt;&gt;0,$H30&lt;&gt;0)),$B30,"")</f>
        <v>העברות מקרנות אחרות</v>
      </c>
      <c r="C237" s="619">
        <f t="shared" si="5"/>
        <v>0</v>
      </c>
      <c r="D237" s="621">
        <f t="shared" si="6"/>
        <v>0</v>
      </c>
      <c r="E237" s="621">
        <f t="shared" si="6"/>
        <v>0</v>
      </c>
      <c r="F237" s="630">
        <f t="shared" si="6"/>
        <v>-233046</v>
      </c>
      <c r="G237" s="631">
        <f t="shared" si="6"/>
        <v>0</v>
      </c>
      <c r="H237" s="630">
        <f t="shared" si="6"/>
        <v>-162900</v>
      </c>
      <c r="I237" s="621">
        <f t="shared" si="7"/>
        <v>0</v>
      </c>
    </row>
    <row r="238" spans="2:9">
      <c r="B238" s="627" t="str">
        <f>IF(AND($B31&lt;&gt;"(***)",OR($F31&lt;&gt;0,$H31&lt;&gt;0)),$B31,"")</f>
        <v>העברות מהתקציב הרגיל</v>
      </c>
      <c r="C238" s="619">
        <f t="shared" si="5"/>
        <v>0</v>
      </c>
      <c r="D238" s="621">
        <f t="shared" si="6"/>
        <v>0</v>
      </c>
      <c r="E238" s="621">
        <f t="shared" si="6"/>
        <v>0</v>
      </c>
      <c r="F238" s="630">
        <f t="shared" si="6"/>
        <v>-39661</v>
      </c>
      <c r="G238" s="631">
        <f t="shared" si="6"/>
        <v>0</v>
      </c>
      <c r="H238" s="630">
        <f t="shared" si="6"/>
        <v>-35000</v>
      </c>
      <c r="I238" s="621">
        <f t="shared" si="7"/>
        <v>0</v>
      </c>
    </row>
    <row r="239" spans="2:9">
      <c r="B239" s="627" t="str">
        <f>IF(AND($B32&lt;&gt;"(***)",OR($F32&lt;&gt;0,$H32&lt;&gt;0)),$B32,"")</f>
        <v/>
      </c>
      <c r="C239" s="619">
        <f t="shared" si="5"/>
        <v>0</v>
      </c>
      <c r="D239" s="621">
        <f t="shared" si="6"/>
        <v>0</v>
      </c>
      <c r="E239" s="621">
        <f t="shared" si="6"/>
        <v>0</v>
      </c>
      <c r="F239" s="630">
        <f t="shared" si="6"/>
        <v>0</v>
      </c>
      <c r="G239" s="631">
        <f t="shared" si="6"/>
        <v>0</v>
      </c>
      <c r="H239" s="630">
        <f t="shared" si="6"/>
        <v>0</v>
      </c>
      <c r="I239" s="621">
        <f t="shared" si="7"/>
        <v>0</v>
      </c>
    </row>
    <row r="240" spans="2:9">
      <c r="B240" s="627" t="str">
        <f>IF(AND($B33&lt;&gt;"(***)",OR($F33&lt;&gt;0,$H33&lt;&gt;0)),$B33,"")</f>
        <v/>
      </c>
      <c r="C240" s="619">
        <f t="shared" si="5"/>
        <v>0</v>
      </c>
      <c r="D240" s="621">
        <f t="shared" si="6"/>
        <v>0</v>
      </c>
      <c r="E240" s="621">
        <f t="shared" si="6"/>
        <v>0</v>
      </c>
      <c r="F240" s="632">
        <f t="shared" si="6"/>
        <v>0</v>
      </c>
      <c r="G240" s="631">
        <f t="shared" si="6"/>
        <v>0</v>
      </c>
      <c r="H240" s="632">
        <f t="shared" si="6"/>
        <v>0</v>
      </c>
      <c r="I240" s="621">
        <f t="shared" si="7"/>
        <v>0</v>
      </c>
    </row>
    <row r="241" spans="2:9" ht="13.8" thickBot="1">
      <c r="B241" s="627" t="str">
        <f>IF(AND($F34=0,$H34=0),"",$B34)</f>
        <v>סה"כ נטו</v>
      </c>
      <c r="C241" s="619">
        <f t="shared" si="5"/>
        <v>0</v>
      </c>
      <c r="D241" s="621">
        <f t="shared" si="6"/>
        <v>0</v>
      </c>
      <c r="E241" s="621">
        <f t="shared" si="6"/>
        <v>0</v>
      </c>
      <c r="F241" s="633">
        <f t="shared" si="6"/>
        <v>270287</v>
      </c>
      <c r="G241" s="631">
        <f t="shared" si="6"/>
        <v>0</v>
      </c>
      <c r="H241" s="633">
        <f t="shared" si="6"/>
        <v>276563</v>
      </c>
      <c r="I241" s="621">
        <f t="shared" si="7"/>
        <v>0</v>
      </c>
    </row>
    <row r="242" spans="2:9" ht="13.8" thickTop="1">
      <c r="B242" s="627">
        <f>B35</f>
        <v>0</v>
      </c>
      <c r="C242" s="619">
        <f t="shared" si="5"/>
        <v>0</v>
      </c>
      <c r="D242" s="621">
        <f t="shared" si="6"/>
        <v>0</v>
      </c>
      <c r="E242" s="621">
        <f t="shared" si="6"/>
        <v>0</v>
      </c>
      <c r="F242" s="630">
        <f t="shared" si="6"/>
        <v>0</v>
      </c>
      <c r="G242" s="631">
        <f t="shared" si="6"/>
        <v>0</v>
      </c>
      <c r="H242" s="630">
        <f t="shared" si="6"/>
        <v>0</v>
      </c>
      <c r="I242" s="621">
        <f t="shared" si="7"/>
        <v>0</v>
      </c>
    </row>
    <row r="243" spans="2:9">
      <c r="B243" s="624" t="str">
        <f>B36</f>
        <v>התאמה מס':</v>
      </c>
      <c r="C243" s="619">
        <f t="shared" si="5"/>
        <v>0</v>
      </c>
      <c r="D243" s="625">
        <f t="shared" si="6"/>
        <v>4</v>
      </c>
      <c r="E243" s="621">
        <f t="shared" si="6"/>
        <v>0</v>
      </c>
      <c r="F243" s="630">
        <f t="shared" si="6"/>
        <v>0</v>
      </c>
      <c r="G243" s="631">
        <f t="shared" si="6"/>
        <v>0</v>
      </c>
      <c r="H243" s="630">
        <f t="shared" si="6"/>
        <v>0</v>
      </c>
      <c r="I243" s="621">
        <f t="shared" si="7"/>
        <v>0</v>
      </c>
    </row>
    <row r="244" spans="2:9" ht="18.75" customHeight="1">
      <c r="B244" s="627">
        <f>B37</f>
        <v>0</v>
      </c>
      <c r="C244" s="619">
        <f t="shared" si="5"/>
        <v>0</v>
      </c>
      <c r="D244" s="621">
        <f t="shared" si="6"/>
        <v>0</v>
      </c>
      <c r="E244" s="621">
        <f t="shared" si="6"/>
        <v>0</v>
      </c>
      <c r="F244" s="628">
        <f t="shared" si="6"/>
        <v>0</v>
      </c>
      <c r="G244" s="631">
        <f t="shared" si="6"/>
        <v>0</v>
      </c>
      <c r="H244" s="628">
        <f t="shared" si="6"/>
        <v>0</v>
      </c>
      <c r="I244" s="621">
        <f t="shared" si="7"/>
        <v>0</v>
      </c>
    </row>
    <row r="245" spans="2:9">
      <c r="B245" s="627" t="str">
        <f>IF(AND($F38=0,$H38=0),"",$B38)</f>
        <v>סה"כ הוצאות בתקציב הרגיל:</v>
      </c>
      <c r="C245" s="619">
        <f t="shared" si="5"/>
        <v>0</v>
      </c>
      <c r="D245" s="621">
        <f t="shared" si="6"/>
        <v>0</v>
      </c>
      <c r="E245" s="621">
        <f t="shared" si="6"/>
        <v>0</v>
      </c>
      <c r="F245" s="630">
        <f t="shared" si="6"/>
        <v>836268</v>
      </c>
      <c r="G245" s="631">
        <f t="shared" si="6"/>
        <v>0</v>
      </c>
      <c r="H245" s="630">
        <f t="shared" si="6"/>
        <v>785053</v>
      </c>
      <c r="I245" s="621">
        <f t="shared" si="7"/>
        <v>0</v>
      </c>
    </row>
    <row r="246" spans="2:9">
      <c r="B246" s="627" t="str">
        <f>IF(AND($B39&lt;&gt;"(***)",OR($F39&lt;&gt;0,$H39&lt;&gt;0)),$B39,"")</f>
        <v/>
      </c>
      <c r="C246" s="619">
        <f t="shared" si="5"/>
        <v>0</v>
      </c>
      <c r="D246" s="621">
        <f t="shared" ref="D246:H252" si="8">D39</f>
        <v>0</v>
      </c>
      <c r="E246" s="621">
        <f t="shared" si="8"/>
        <v>0</v>
      </c>
      <c r="F246" s="630">
        <f t="shared" si="8"/>
        <v>0</v>
      </c>
      <c r="G246" s="631">
        <f t="shared" si="8"/>
        <v>0</v>
      </c>
      <c r="H246" s="630">
        <f t="shared" si="8"/>
        <v>0</v>
      </c>
      <c r="I246" s="621">
        <f t="shared" ref="I246:I252" si="9">I39</f>
        <v>0</v>
      </c>
    </row>
    <row r="247" spans="2:9">
      <c r="B247" s="627" t="str">
        <f>IF(AND($B40&lt;&gt;"(***)",OR($F40&lt;&gt;0,$H40&lt;&gt;0)),$B40,"")</f>
        <v>העברות לקרנות פיתוח</v>
      </c>
      <c r="C247" s="619">
        <f t="shared" si="5"/>
        <v>0</v>
      </c>
      <c r="D247" s="621">
        <f t="shared" si="8"/>
        <v>0</v>
      </c>
      <c r="E247" s="621">
        <f t="shared" si="8"/>
        <v>0</v>
      </c>
      <c r="F247" s="630">
        <f t="shared" si="8"/>
        <v>-39661</v>
      </c>
      <c r="G247" s="631">
        <f t="shared" si="8"/>
        <v>0</v>
      </c>
      <c r="H247" s="630">
        <f t="shared" si="8"/>
        <v>-35000</v>
      </c>
      <c r="I247" s="621">
        <f t="shared" si="9"/>
        <v>0</v>
      </c>
    </row>
    <row r="248" spans="2:9">
      <c r="B248" s="627" t="str">
        <f>IF(AND($B41&lt;&gt;"(***)",OR($F41&lt;&gt;0,$H41&lt;&gt;0)),$B41,"")</f>
        <v/>
      </c>
      <c r="C248" s="619">
        <f t="shared" si="5"/>
        <v>0</v>
      </c>
      <c r="D248" s="621">
        <f t="shared" si="8"/>
        <v>0</v>
      </c>
      <c r="E248" s="621">
        <f t="shared" si="8"/>
        <v>0</v>
      </c>
      <c r="F248" s="630">
        <f t="shared" si="8"/>
        <v>0</v>
      </c>
      <c r="G248" s="631">
        <f t="shared" si="8"/>
        <v>0</v>
      </c>
      <c r="H248" s="630">
        <f t="shared" si="8"/>
        <v>0</v>
      </c>
      <c r="I248" s="621">
        <f t="shared" si="9"/>
        <v>0</v>
      </c>
    </row>
    <row r="249" spans="2:9">
      <c r="B249" s="627" t="str">
        <f>IF(AND($B42&lt;&gt;"(***)",OR($F42&lt;&gt;0,$H42&lt;&gt;0)),$B42,"")</f>
        <v/>
      </c>
      <c r="C249" s="619">
        <f t="shared" si="5"/>
        <v>0</v>
      </c>
      <c r="D249" s="621">
        <f t="shared" si="8"/>
        <v>0</v>
      </c>
      <c r="E249" s="621">
        <f t="shared" si="8"/>
        <v>0</v>
      </c>
      <c r="F249" s="630">
        <f t="shared" si="8"/>
        <v>0</v>
      </c>
      <c r="G249" s="631">
        <f t="shared" si="8"/>
        <v>0</v>
      </c>
      <c r="H249" s="630">
        <f t="shared" si="8"/>
        <v>0</v>
      </c>
      <c r="I249" s="621">
        <f t="shared" si="9"/>
        <v>0</v>
      </c>
    </row>
    <row r="250" spans="2:9">
      <c r="B250" s="627" t="str">
        <f>IF(AND($B43&lt;&gt;"(***)",OR($F43&lt;&gt;0,$H43&lt;&gt;0)),$B43,"")</f>
        <v/>
      </c>
      <c r="C250" s="619">
        <f t="shared" si="5"/>
        <v>0</v>
      </c>
      <c r="D250" s="621">
        <f t="shared" si="8"/>
        <v>0</v>
      </c>
      <c r="E250" s="621">
        <f t="shared" si="8"/>
        <v>0</v>
      </c>
      <c r="F250" s="632">
        <f t="shared" si="8"/>
        <v>0</v>
      </c>
      <c r="G250" s="631">
        <f t="shared" si="8"/>
        <v>0</v>
      </c>
      <c r="H250" s="632">
        <f t="shared" si="8"/>
        <v>0</v>
      </c>
      <c r="I250" s="621">
        <f t="shared" si="9"/>
        <v>0</v>
      </c>
    </row>
    <row r="251" spans="2:9" ht="13.8" thickBot="1">
      <c r="B251" s="627" t="str">
        <f>IF(AND($F44=0,$H44=0),"",$B44)</f>
        <v>סה"כ נטו</v>
      </c>
      <c r="C251" s="619">
        <f t="shared" si="5"/>
        <v>0</v>
      </c>
      <c r="D251" s="621">
        <f t="shared" si="8"/>
        <v>0</v>
      </c>
      <c r="E251" s="621">
        <f t="shared" si="8"/>
        <v>0</v>
      </c>
      <c r="F251" s="633">
        <f t="shared" si="8"/>
        <v>796607</v>
      </c>
      <c r="G251" s="631">
        <f t="shared" si="8"/>
        <v>0</v>
      </c>
      <c r="H251" s="633">
        <f t="shared" si="8"/>
        <v>750053</v>
      </c>
      <c r="I251" s="621">
        <f t="shared" si="9"/>
        <v>0</v>
      </c>
    </row>
    <row r="252" spans="2:9" ht="13.8" thickTop="1">
      <c r="B252" s="627">
        <f>B45</f>
        <v>0</v>
      </c>
      <c r="C252" s="619">
        <f t="shared" si="5"/>
        <v>0</v>
      </c>
      <c r="D252" s="621">
        <f t="shared" si="8"/>
        <v>0</v>
      </c>
      <c r="E252" s="621">
        <f t="shared" si="8"/>
        <v>0</v>
      </c>
      <c r="F252" s="630">
        <f t="shared" si="8"/>
        <v>0</v>
      </c>
      <c r="G252" s="631">
        <f t="shared" si="8"/>
        <v>0</v>
      </c>
      <c r="H252" s="630">
        <f t="shared" si="8"/>
        <v>0</v>
      </c>
      <c r="I252" s="621">
        <f t="shared" si="9"/>
        <v>0</v>
      </c>
    </row>
    <row r="253" spans="2:9">
      <c r="B253" s="624" t="str">
        <f t="shared" ref="B253:I254" si="10">B47</f>
        <v>התאמה מס':</v>
      </c>
      <c r="C253" s="619">
        <f t="shared" si="10"/>
        <v>0</v>
      </c>
      <c r="D253" s="625">
        <f t="shared" si="10"/>
        <v>5</v>
      </c>
      <c r="E253" s="621">
        <f t="shared" si="10"/>
        <v>0</v>
      </c>
      <c r="F253" s="630">
        <f t="shared" si="10"/>
        <v>0</v>
      </c>
      <c r="G253" s="631">
        <f t="shared" si="10"/>
        <v>0</v>
      </c>
      <c r="H253" s="630">
        <f t="shared" si="10"/>
        <v>0</v>
      </c>
      <c r="I253" s="621">
        <f t="shared" si="10"/>
        <v>0</v>
      </c>
    </row>
    <row r="254" spans="2:9">
      <c r="B254" s="627">
        <f t="shared" si="10"/>
        <v>0</v>
      </c>
      <c r="C254" s="619">
        <f t="shared" si="10"/>
        <v>0</v>
      </c>
      <c r="D254" s="621">
        <f t="shared" si="10"/>
        <v>0</v>
      </c>
      <c r="E254" s="621">
        <f t="shared" si="10"/>
        <v>0</v>
      </c>
      <c r="F254" s="630">
        <f t="shared" si="10"/>
        <v>0</v>
      </c>
      <c r="G254" s="631">
        <f t="shared" si="10"/>
        <v>0</v>
      </c>
      <c r="H254" s="630">
        <f t="shared" si="10"/>
        <v>0</v>
      </c>
      <c r="I254" s="621">
        <f t="shared" si="10"/>
        <v>0</v>
      </c>
    </row>
    <row r="255" spans="2:9">
      <c r="B255" s="627" t="str">
        <f>IF(AND($F49=0,$H49=0),"",$B49)</f>
        <v>סה"כ הוצאות בתקציב הבלתי רגיל:</v>
      </c>
      <c r="C255" s="619">
        <f t="shared" ref="C255:I261" si="11">C49</f>
        <v>0</v>
      </c>
      <c r="D255" s="621">
        <f t="shared" si="11"/>
        <v>0</v>
      </c>
      <c r="E255" s="621">
        <f t="shared" si="11"/>
        <v>0</v>
      </c>
      <c r="F255" s="630">
        <f t="shared" si="11"/>
        <v>171966</v>
      </c>
      <c r="G255" s="631">
        <f t="shared" si="11"/>
        <v>0</v>
      </c>
      <c r="H255" s="630">
        <f t="shared" si="11"/>
        <v>240509</v>
      </c>
      <c r="I255" s="621">
        <f t="shared" si="11"/>
        <v>0</v>
      </c>
    </row>
    <row r="256" spans="2:9">
      <c r="B256" s="627" t="str">
        <f>IF(AND($B50&lt;&gt;"(***)",OR($F50&lt;&gt;0,$H50&lt;&gt;0)),$B50,"")</f>
        <v>העברות לקרנות פיתוח</v>
      </c>
      <c r="C256" s="619">
        <f t="shared" si="11"/>
        <v>0</v>
      </c>
      <c r="D256" s="621">
        <f t="shared" si="11"/>
        <v>0</v>
      </c>
      <c r="E256" s="621">
        <f t="shared" si="11"/>
        <v>0</v>
      </c>
      <c r="F256" s="630">
        <f t="shared" si="11"/>
        <v>-4202</v>
      </c>
      <c r="G256" s="631">
        <f t="shared" si="11"/>
        <v>0</v>
      </c>
      <c r="H256" s="630">
        <f t="shared" si="11"/>
        <v>-5987</v>
      </c>
      <c r="I256" s="621">
        <f t="shared" si="11"/>
        <v>0</v>
      </c>
    </row>
    <row r="257" spans="2:9">
      <c r="B257" s="627" t="str">
        <f>IF(AND($B51&lt;&gt;"(***)",OR($F51&lt;&gt;0,$H51&lt;&gt;0)),$B51,"")</f>
        <v/>
      </c>
      <c r="C257" s="619">
        <f t="shared" si="11"/>
        <v>0</v>
      </c>
      <c r="D257" s="621">
        <f t="shared" si="11"/>
        <v>0</v>
      </c>
      <c r="E257" s="621">
        <f t="shared" si="11"/>
        <v>0</v>
      </c>
      <c r="F257" s="630">
        <f t="shared" si="11"/>
        <v>0</v>
      </c>
      <c r="G257" s="631">
        <f t="shared" si="11"/>
        <v>0</v>
      </c>
      <c r="H257" s="630">
        <f t="shared" si="11"/>
        <v>0</v>
      </c>
      <c r="I257" s="621">
        <f t="shared" si="11"/>
        <v>0</v>
      </c>
    </row>
    <row r="258" spans="2:9">
      <c r="B258" s="627" t="str">
        <f>IF(AND($B52&lt;&gt;"(***)",OR($F52&lt;&gt;0,$H52&lt;&gt;0)),$B52,"")</f>
        <v/>
      </c>
      <c r="C258" s="619">
        <f t="shared" si="11"/>
        <v>0</v>
      </c>
      <c r="D258" s="621">
        <f t="shared" si="11"/>
        <v>0</v>
      </c>
      <c r="E258" s="621">
        <f t="shared" si="11"/>
        <v>0</v>
      </c>
      <c r="F258" s="630">
        <f t="shared" si="11"/>
        <v>0</v>
      </c>
      <c r="G258" s="631">
        <f t="shared" si="11"/>
        <v>0</v>
      </c>
      <c r="H258" s="630">
        <f t="shared" si="11"/>
        <v>0</v>
      </c>
      <c r="I258" s="621">
        <f t="shared" si="11"/>
        <v>0</v>
      </c>
    </row>
    <row r="259" spans="2:9">
      <c r="B259" s="627" t="str">
        <f>IF(AND($B53&lt;&gt;"(***)",OR($F53&lt;&gt;0,$H53&lt;&gt;0)),$B53,"")</f>
        <v/>
      </c>
      <c r="C259" s="619">
        <f t="shared" si="11"/>
        <v>0</v>
      </c>
      <c r="D259" s="621">
        <f t="shared" si="11"/>
        <v>0</v>
      </c>
      <c r="E259" s="621">
        <f t="shared" si="11"/>
        <v>0</v>
      </c>
      <c r="F259" s="630">
        <f t="shared" si="11"/>
        <v>0</v>
      </c>
      <c r="G259" s="631">
        <f t="shared" si="11"/>
        <v>0</v>
      </c>
      <c r="H259" s="630">
        <f t="shared" si="11"/>
        <v>0</v>
      </c>
      <c r="I259" s="621">
        <f t="shared" si="11"/>
        <v>0</v>
      </c>
    </row>
    <row r="260" spans="2:9">
      <c r="B260" s="627" t="str">
        <f>IF(AND($B54&lt;&gt;"(***)",OR($F54&lt;&gt;0,$H54&lt;&gt;0)),$B54,"")</f>
        <v/>
      </c>
      <c r="C260" s="619">
        <f t="shared" si="11"/>
        <v>0</v>
      </c>
      <c r="D260" s="621">
        <f t="shared" si="11"/>
        <v>0</v>
      </c>
      <c r="E260" s="621">
        <f t="shared" si="11"/>
        <v>0</v>
      </c>
      <c r="F260" s="632">
        <f t="shared" si="11"/>
        <v>0</v>
      </c>
      <c r="G260" s="631">
        <f t="shared" si="11"/>
        <v>0</v>
      </c>
      <c r="H260" s="632">
        <f t="shared" si="11"/>
        <v>0</v>
      </c>
      <c r="I260" s="621">
        <f t="shared" si="11"/>
        <v>0</v>
      </c>
    </row>
    <row r="261" spans="2:9" ht="13.8" thickBot="1">
      <c r="B261" s="627" t="str">
        <f>IF(AND($F55=0,$H55=0),"",$B55)</f>
        <v>סה"כ נטו</v>
      </c>
      <c r="C261" s="619">
        <f t="shared" si="11"/>
        <v>0</v>
      </c>
      <c r="D261" s="621">
        <f t="shared" si="11"/>
        <v>0</v>
      </c>
      <c r="E261" s="621">
        <f t="shared" si="11"/>
        <v>0</v>
      </c>
      <c r="F261" s="633">
        <f t="shared" si="11"/>
        <v>167764</v>
      </c>
      <c r="G261" s="631">
        <f t="shared" si="11"/>
        <v>0</v>
      </c>
      <c r="H261" s="633">
        <f t="shared" si="11"/>
        <v>234522</v>
      </c>
      <c r="I261" s="621">
        <f t="shared" si="11"/>
        <v>0</v>
      </c>
    </row>
    <row r="262" spans="2:9" ht="13.8" thickTop="1">
      <c r="B262" s="624">
        <f t="shared" ref="B262:H262" si="12">B46</f>
        <v>0</v>
      </c>
      <c r="C262" s="619">
        <f t="shared" si="12"/>
        <v>0</v>
      </c>
      <c r="D262" s="625">
        <f t="shared" si="12"/>
        <v>0</v>
      </c>
      <c r="E262" s="621">
        <f t="shared" si="12"/>
        <v>0</v>
      </c>
      <c r="F262" s="628" t="str">
        <f t="shared" si="12"/>
        <v>2015 - באלפי ש"ח</v>
      </c>
      <c r="G262" s="631">
        <f t="shared" si="12"/>
        <v>0</v>
      </c>
      <c r="H262" s="628" t="str">
        <f t="shared" si="12"/>
        <v>2014 - באלפי ש"ח</v>
      </c>
      <c r="I262" s="621"/>
    </row>
    <row r="263" spans="2:9">
      <c r="B263" s="624"/>
      <c r="C263" s="619"/>
      <c r="D263" s="625"/>
      <c r="E263" s="621"/>
      <c r="F263" s="628"/>
      <c r="G263" s="631"/>
      <c r="H263" s="628"/>
      <c r="I263" s="621"/>
    </row>
    <row r="264" spans="2:9">
      <c r="B264" s="624" t="str">
        <f t="shared" ref="B264:I264" si="13">B57</f>
        <v>התאמה מס':</v>
      </c>
      <c r="C264" s="619">
        <f t="shared" si="13"/>
        <v>0</v>
      </c>
      <c r="D264" s="625">
        <f t="shared" si="13"/>
        <v>6</v>
      </c>
      <c r="E264" s="621">
        <f t="shared" si="13"/>
        <v>0</v>
      </c>
      <c r="F264" s="630">
        <f t="shared" si="13"/>
        <v>0</v>
      </c>
      <c r="G264" s="631">
        <f t="shared" si="13"/>
        <v>0</v>
      </c>
      <c r="H264" s="630">
        <f t="shared" si="13"/>
        <v>0</v>
      </c>
      <c r="I264" s="621">
        <f t="shared" si="13"/>
        <v>0</v>
      </c>
    </row>
    <row r="265" spans="2:9">
      <c r="B265" s="627" t="str">
        <f t="shared" ref="B265:B271" si="14">IF(AND($B58&lt;&gt;"(***)",OR($F58&lt;&gt;0,$H58&lt;&gt;0)),$B58,"")</f>
        <v>תשלומים מקרן לעבודות פיתוח</v>
      </c>
      <c r="C265" s="619">
        <f t="shared" ref="C265:I265" si="15">C58</f>
        <v>0</v>
      </c>
      <c r="D265" s="621">
        <f t="shared" si="15"/>
        <v>0</v>
      </c>
      <c r="E265" s="621">
        <f t="shared" si="15"/>
        <v>0</v>
      </c>
      <c r="F265" s="630">
        <f t="shared" si="15"/>
        <v>562933</v>
      </c>
      <c r="G265" s="631">
        <f t="shared" si="15"/>
        <v>0</v>
      </c>
      <c r="H265" s="630">
        <f t="shared" si="15"/>
        <v>430677</v>
      </c>
      <c r="I265" s="621">
        <f t="shared" si="15"/>
        <v>0</v>
      </c>
    </row>
    <row r="266" spans="2:9">
      <c r="B266" s="627" t="str">
        <f t="shared" si="14"/>
        <v>העברות לתקציב הרגיל</v>
      </c>
      <c r="C266" s="619">
        <f t="shared" ref="C266:H266" si="16">C59</f>
        <v>0</v>
      </c>
      <c r="D266" s="621">
        <f t="shared" si="16"/>
        <v>0</v>
      </c>
      <c r="E266" s="621">
        <f t="shared" si="16"/>
        <v>0</v>
      </c>
      <c r="F266" s="630">
        <f t="shared" si="16"/>
        <v>-30392</v>
      </c>
      <c r="G266" s="631">
        <f t="shared" si="16"/>
        <v>0</v>
      </c>
      <c r="H266" s="630">
        <f t="shared" si="16"/>
        <v>-38163</v>
      </c>
      <c r="I266" s="621"/>
    </row>
    <row r="267" spans="2:9">
      <c r="B267" s="627" t="str">
        <f t="shared" si="14"/>
        <v>העברות לתב"רים</v>
      </c>
      <c r="C267" s="619">
        <f>C60</f>
        <v>0</v>
      </c>
      <c r="D267" s="621">
        <f t="shared" ref="D267:I267" si="17">D60</f>
        <v>0</v>
      </c>
      <c r="E267" s="621">
        <f t="shared" si="17"/>
        <v>0</v>
      </c>
      <c r="F267" s="630">
        <f t="shared" si="17"/>
        <v>-282120</v>
      </c>
      <c r="G267" s="631">
        <f t="shared" si="17"/>
        <v>0</v>
      </c>
      <c r="H267" s="630">
        <f t="shared" si="17"/>
        <v>-229573</v>
      </c>
      <c r="I267" s="621">
        <f t="shared" si="17"/>
        <v>0</v>
      </c>
    </row>
    <row r="268" spans="2:9">
      <c r="B268" s="627" t="str">
        <f t="shared" si="14"/>
        <v>העברות לקרנות אחרות</v>
      </c>
      <c r="C268" s="619">
        <f>C61</f>
        <v>0</v>
      </c>
      <c r="D268" s="621">
        <f t="shared" ref="D268:I268" si="18">D61</f>
        <v>0</v>
      </c>
      <c r="E268" s="621">
        <f t="shared" si="18"/>
        <v>0</v>
      </c>
      <c r="F268" s="630">
        <f t="shared" si="18"/>
        <v>-233046</v>
      </c>
      <c r="G268" s="631">
        <f t="shared" si="18"/>
        <v>0</v>
      </c>
      <c r="H268" s="630">
        <f t="shared" si="18"/>
        <v>-162900</v>
      </c>
      <c r="I268" s="621">
        <f t="shared" si="18"/>
        <v>0</v>
      </c>
    </row>
    <row r="269" spans="2:9">
      <c r="B269" s="627" t="str">
        <f t="shared" si="14"/>
        <v/>
      </c>
      <c r="C269" s="619">
        <f t="shared" ref="C269:C293" si="19">C62</f>
        <v>0</v>
      </c>
      <c r="D269" s="621">
        <f t="shared" ref="D269:I278" si="20">D62</f>
        <v>0</v>
      </c>
      <c r="E269" s="621">
        <f t="shared" si="20"/>
        <v>0</v>
      </c>
      <c r="F269" s="630">
        <f t="shared" si="20"/>
        <v>0</v>
      </c>
      <c r="G269" s="631">
        <f t="shared" si="20"/>
        <v>0</v>
      </c>
      <c r="H269" s="630">
        <f t="shared" si="20"/>
        <v>0</v>
      </c>
      <c r="I269" s="621"/>
    </row>
    <row r="270" spans="2:9">
      <c r="B270" s="627" t="str">
        <f t="shared" si="14"/>
        <v/>
      </c>
      <c r="C270" s="619">
        <f t="shared" si="19"/>
        <v>0</v>
      </c>
      <c r="D270" s="621">
        <f t="shared" si="20"/>
        <v>0</v>
      </c>
      <c r="E270" s="621">
        <f t="shared" si="20"/>
        <v>0</v>
      </c>
      <c r="F270" s="630">
        <f t="shared" si="20"/>
        <v>0</v>
      </c>
      <c r="G270" s="631">
        <f t="shared" si="20"/>
        <v>0</v>
      </c>
      <c r="H270" s="630">
        <f t="shared" si="20"/>
        <v>0</v>
      </c>
      <c r="I270" s="621">
        <f t="shared" si="20"/>
        <v>0</v>
      </c>
    </row>
    <row r="271" spans="2:9">
      <c r="B271" s="627" t="str">
        <f t="shared" si="14"/>
        <v/>
      </c>
      <c r="C271" s="619">
        <f t="shared" si="19"/>
        <v>0</v>
      </c>
      <c r="D271" s="621">
        <f t="shared" si="20"/>
        <v>0</v>
      </c>
      <c r="E271" s="621">
        <f t="shared" si="20"/>
        <v>0</v>
      </c>
      <c r="F271" s="632">
        <f t="shared" si="20"/>
        <v>0</v>
      </c>
      <c r="G271" s="631">
        <f t="shared" si="20"/>
        <v>0</v>
      </c>
      <c r="H271" s="632">
        <f t="shared" si="20"/>
        <v>0</v>
      </c>
      <c r="I271" s="621">
        <f t="shared" si="20"/>
        <v>0</v>
      </c>
    </row>
    <row r="272" spans="2:9" ht="13.8" thickBot="1">
      <c r="B272" s="627" t="str">
        <f>IF(AND($F65=0,$H65=0),"",$B65)</f>
        <v>סה"כ נטו</v>
      </c>
      <c r="C272" s="619">
        <f t="shared" si="19"/>
        <v>0</v>
      </c>
      <c r="D272" s="621">
        <f t="shared" si="20"/>
        <v>0</v>
      </c>
      <c r="E272" s="621">
        <f t="shared" si="20"/>
        <v>0</v>
      </c>
      <c r="F272" s="633">
        <f t="shared" si="20"/>
        <v>17375</v>
      </c>
      <c r="G272" s="631">
        <f t="shared" si="20"/>
        <v>0</v>
      </c>
      <c r="H272" s="633">
        <f t="shared" si="20"/>
        <v>41</v>
      </c>
      <c r="I272" s="621">
        <f t="shared" si="20"/>
        <v>0</v>
      </c>
    </row>
    <row r="273" spans="2:9" ht="13.8" thickTop="1">
      <c r="B273" s="627">
        <f>B66</f>
        <v>0</v>
      </c>
      <c r="C273" s="619">
        <f t="shared" si="19"/>
        <v>0</v>
      </c>
      <c r="D273" s="621">
        <f t="shared" si="20"/>
        <v>0</v>
      </c>
      <c r="E273" s="621">
        <f t="shared" si="20"/>
        <v>0</v>
      </c>
      <c r="F273" s="630">
        <f t="shared" si="20"/>
        <v>0</v>
      </c>
      <c r="G273" s="631">
        <f t="shared" si="20"/>
        <v>0</v>
      </c>
      <c r="H273" s="630">
        <f t="shared" si="20"/>
        <v>0</v>
      </c>
      <c r="I273" s="621">
        <f t="shared" si="20"/>
        <v>0</v>
      </c>
    </row>
    <row r="274" spans="2:9">
      <c r="B274" s="624" t="str">
        <f>IF(AND($F279=0,$H279=0,$F278=0,$H278=0,$F277=0,$H277=0,$F276=0,$H276=0,$F275=0,$H275=0),"",B67)</f>
        <v/>
      </c>
      <c r="C274" s="619">
        <f t="shared" si="19"/>
        <v>0</v>
      </c>
      <c r="D274" s="625" t="str">
        <f>IF(AND($F279=0,$H279=0,$F278=0,$H278=0,$F277=0,$H277=0,$F276=0,$H276=0,$F275=0,$H275=0),"",D67)</f>
        <v/>
      </c>
      <c r="E274" s="621">
        <f t="shared" si="20"/>
        <v>0</v>
      </c>
      <c r="F274" s="630">
        <f t="shared" si="20"/>
        <v>0</v>
      </c>
      <c r="G274" s="631">
        <f t="shared" si="20"/>
        <v>0</v>
      </c>
      <c r="H274" s="630">
        <f t="shared" si="20"/>
        <v>0</v>
      </c>
      <c r="I274" s="621">
        <f t="shared" si="20"/>
        <v>0</v>
      </c>
    </row>
    <row r="275" spans="2:9">
      <c r="B275" s="627" t="str">
        <f>IF(AND($B68&lt;&gt;"(***)",OR($F68&lt;&gt;0,$H68&lt;&gt;0)),$B68,"")</f>
        <v/>
      </c>
      <c r="C275" s="619">
        <f t="shared" si="19"/>
        <v>0</v>
      </c>
      <c r="D275" s="621">
        <f t="shared" si="20"/>
        <v>0</v>
      </c>
      <c r="E275" s="621">
        <f t="shared" si="20"/>
        <v>0</v>
      </c>
      <c r="F275" s="630">
        <f t="shared" si="20"/>
        <v>0</v>
      </c>
      <c r="G275" s="631">
        <f t="shared" si="20"/>
        <v>0</v>
      </c>
      <c r="H275" s="630">
        <f t="shared" si="20"/>
        <v>0</v>
      </c>
      <c r="I275" s="621">
        <f t="shared" si="20"/>
        <v>0</v>
      </c>
    </row>
    <row r="276" spans="2:9">
      <c r="B276" s="627" t="str">
        <f>IF(AND($B69&lt;&gt;"(***)",OR($F69&lt;&gt;0,$H69&lt;&gt;0)),$B69,"")</f>
        <v/>
      </c>
      <c r="C276" s="619">
        <f t="shared" si="19"/>
        <v>0</v>
      </c>
      <c r="D276" s="621">
        <f t="shared" si="20"/>
        <v>0</v>
      </c>
      <c r="E276" s="621">
        <f t="shared" si="20"/>
        <v>0</v>
      </c>
      <c r="F276" s="630">
        <f t="shared" si="20"/>
        <v>0</v>
      </c>
      <c r="G276" s="631">
        <f t="shared" si="20"/>
        <v>0</v>
      </c>
      <c r="H276" s="630">
        <f t="shared" si="20"/>
        <v>0</v>
      </c>
      <c r="I276" s="621">
        <f t="shared" si="20"/>
        <v>0</v>
      </c>
    </row>
    <row r="277" spans="2:9">
      <c r="B277" s="627" t="str">
        <f>IF(AND($B70&lt;&gt;"(***)",OR($F70&lt;&gt;0,$H70&lt;&gt;0)),$B70,"")</f>
        <v/>
      </c>
      <c r="C277" s="619">
        <f t="shared" si="19"/>
        <v>0</v>
      </c>
      <c r="D277" s="621">
        <f t="shared" si="20"/>
        <v>0</v>
      </c>
      <c r="E277" s="621">
        <f t="shared" si="20"/>
        <v>0</v>
      </c>
      <c r="F277" s="630">
        <f t="shared" si="20"/>
        <v>0</v>
      </c>
      <c r="G277" s="631">
        <f t="shared" si="20"/>
        <v>0</v>
      </c>
      <c r="H277" s="630">
        <f t="shared" si="20"/>
        <v>0</v>
      </c>
      <c r="I277" s="621">
        <f t="shared" si="20"/>
        <v>0</v>
      </c>
    </row>
    <row r="278" spans="2:9">
      <c r="B278" s="627" t="str">
        <f>IF(AND($B71&lt;&gt;"(***)",OR($F71&lt;&gt;0,$H71&lt;&gt;0)),$B71,"")</f>
        <v/>
      </c>
      <c r="C278" s="619">
        <f t="shared" si="19"/>
        <v>0</v>
      </c>
      <c r="D278" s="621">
        <f t="shared" si="20"/>
        <v>0</v>
      </c>
      <c r="E278" s="621">
        <f t="shared" si="20"/>
        <v>0</v>
      </c>
      <c r="F278" s="630">
        <f t="shared" si="20"/>
        <v>0</v>
      </c>
      <c r="G278" s="631">
        <f t="shared" si="20"/>
        <v>0</v>
      </c>
      <c r="H278" s="630">
        <f t="shared" si="20"/>
        <v>0</v>
      </c>
      <c r="I278" s="621">
        <f t="shared" si="20"/>
        <v>0</v>
      </c>
    </row>
    <row r="279" spans="2:9">
      <c r="B279" s="627" t="str">
        <f>IF(AND($B72&lt;&gt;"(***)",OR($F72&lt;&gt;0,$H72&lt;&gt;0)),$B72,"")</f>
        <v/>
      </c>
      <c r="C279" s="619">
        <f t="shared" si="19"/>
        <v>0</v>
      </c>
      <c r="D279" s="621">
        <f t="shared" ref="D279:I288" si="21">D72</f>
        <v>0</v>
      </c>
      <c r="E279" s="621">
        <f t="shared" si="21"/>
        <v>0</v>
      </c>
      <c r="F279" s="630">
        <f t="shared" si="21"/>
        <v>0</v>
      </c>
      <c r="G279" s="631">
        <f t="shared" si="21"/>
        <v>0</v>
      </c>
      <c r="H279" s="630">
        <f t="shared" si="21"/>
        <v>0</v>
      </c>
      <c r="I279" s="621">
        <f t="shared" si="21"/>
        <v>0</v>
      </c>
    </row>
    <row r="280" spans="2:9" ht="13.8" thickBot="1">
      <c r="B280" s="627" t="str">
        <f>IF(AND($F275=0,$H275=0,$F276=0,$H276=0,$F277=0,$H277=0,$F278=0,$H278=0,$F279=0,$H279=0),"",B73)</f>
        <v/>
      </c>
      <c r="C280" s="619">
        <f t="shared" si="19"/>
        <v>0</v>
      </c>
      <c r="D280" s="621">
        <f t="shared" si="21"/>
        <v>0</v>
      </c>
      <c r="E280" s="621">
        <f t="shared" si="21"/>
        <v>0</v>
      </c>
      <c r="F280" s="633">
        <f t="shared" si="21"/>
        <v>0</v>
      </c>
      <c r="G280" s="631">
        <f t="shared" si="21"/>
        <v>0</v>
      </c>
      <c r="H280" s="633">
        <f t="shared" si="21"/>
        <v>0</v>
      </c>
      <c r="I280" s="621">
        <f t="shared" si="21"/>
        <v>0</v>
      </c>
    </row>
    <row r="281" spans="2:9" ht="13.8" thickTop="1">
      <c r="B281" s="627">
        <f>B74</f>
        <v>0</v>
      </c>
      <c r="C281" s="619">
        <f t="shared" si="19"/>
        <v>0</v>
      </c>
      <c r="D281" s="621">
        <f t="shared" si="21"/>
        <v>0</v>
      </c>
      <c r="E281" s="621">
        <f t="shared" si="21"/>
        <v>0</v>
      </c>
      <c r="F281" s="630">
        <f t="shared" si="21"/>
        <v>0</v>
      </c>
      <c r="G281" s="631">
        <f t="shared" si="21"/>
        <v>0</v>
      </c>
      <c r="H281" s="630">
        <f t="shared" si="21"/>
        <v>0</v>
      </c>
      <c r="I281" s="621">
        <f t="shared" si="21"/>
        <v>0</v>
      </c>
    </row>
    <row r="282" spans="2:9">
      <c r="B282" s="624" t="str">
        <f>IF(AND($F287=0,$H287=0,$F286=0,$H286=0,$F285=0,$H285=0,$F284=0,$H284=0,$F283=0,$H283=0),"",B75)</f>
        <v/>
      </c>
      <c r="C282" s="619">
        <f t="shared" si="19"/>
        <v>0</v>
      </c>
      <c r="D282" s="625" t="str">
        <f>IF(AND($F287=0,$H287=0,$F286=0,$H286=0,$F285=0,$H285=0,$F284=0,$H284=0,$F283=0,$H283=0),"",D75)</f>
        <v/>
      </c>
      <c r="E282" s="621">
        <f t="shared" si="21"/>
        <v>0</v>
      </c>
      <c r="F282" s="630">
        <f t="shared" si="21"/>
        <v>0</v>
      </c>
      <c r="G282" s="631">
        <f t="shared" si="21"/>
        <v>0</v>
      </c>
      <c r="H282" s="630">
        <f t="shared" si="21"/>
        <v>0</v>
      </c>
      <c r="I282" s="621">
        <f t="shared" si="21"/>
        <v>0</v>
      </c>
    </row>
    <row r="283" spans="2:9">
      <c r="B283" s="627" t="str">
        <f>IF(AND($B76&lt;&gt;"(***)",OR($F76&lt;&gt;0,$H76&lt;&gt;0)),$B76,"")</f>
        <v/>
      </c>
      <c r="C283" s="619">
        <f t="shared" si="19"/>
        <v>0</v>
      </c>
      <c r="D283" s="621">
        <f t="shared" si="21"/>
        <v>0</v>
      </c>
      <c r="E283" s="621">
        <f t="shared" si="21"/>
        <v>0</v>
      </c>
      <c r="F283" s="630">
        <f t="shared" si="21"/>
        <v>0</v>
      </c>
      <c r="G283" s="631">
        <f t="shared" si="21"/>
        <v>0</v>
      </c>
      <c r="H283" s="630">
        <f t="shared" si="21"/>
        <v>0</v>
      </c>
      <c r="I283" s="621">
        <f t="shared" si="21"/>
        <v>0</v>
      </c>
    </row>
    <row r="284" spans="2:9">
      <c r="B284" s="627" t="str">
        <f>IF(AND($B77&lt;&gt;"(***)",OR($F77&lt;&gt;0,$H77&lt;&gt;0)),$B77,"")</f>
        <v/>
      </c>
      <c r="C284" s="619">
        <f t="shared" si="19"/>
        <v>0</v>
      </c>
      <c r="D284" s="621">
        <f t="shared" si="21"/>
        <v>0</v>
      </c>
      <c r="E284" s="621">
        <f t="shared" si="21"/>
        <v>0</v>
      </c>
      <c r="F284" s="630">
        <f t="shared" si="21"/>
        <v>0</v>
      </c>
      <c r="G284" s="631">
        <f t="shared" si="21"/>
        <v>0</v>
      </c>
      <c r="H284" s="630">
        <f t="shared" si="21"/>
        <v>0</v>
      </c>
      <c r="I284" s="621">
        <f t="shared" si="21"/>
        <v>0</v>
      </c>
    </row>
    <row r="285" spans="2:9">
      <c r="B285" s="627" t="str">
        <f>IF(AND($B78&lt;&gt;"(***)",OR($F78&lt;&gt;0,$H78&lt;&gt;0)),$B78,"")</f>
        <v/>
      </c>
      <c r="C285" s="619">
        <f t="shared" si="19"/>
        <v>0</v>
      </c>
      <c r="D285" s="621">
        <f t="shared" si="21"/>
        <v>0</v>
      </c>
      <c r="E285" s="621">
        <f t="shared" si="21"/>
        <v>0</v>
      </c>
      <c r="F285" s="630">
        <f t="shared" si="21"/>
        <v>0</v>
      </c>
      <c r="G285" s="631">
        <f t="shared" si="21"/>
        <v>0</v>
      </c>
      <c r="H285" s="630">
        <f t="shared" si="21"/>
        <v>0</v>
      </c>
      <c r="I285" s="621">
        <f t="shared" si="21"/>
        <v>0</v>
      </c>
    </row>
    <row r="286" spans="2:9">
      <c r="B286" s="627" t="str">
        <f>IF(AND($B79&lt;&gt;"(***)",OR($F79&lt;&gt;0,$H79&lt;&gt;0)),$B79,"")</f>
        <v/>
      </c>
      <c r="C286" s="619">
        <f t="shared" si="19"/>
        <v>0</v>
      </c>
      <c r="D286" s="621">
        <f t="shared" si="21"/>
        <v>0</v>
      </c>
      <c r="E286" s="621">
        <f t="shared" si="21"/>
        <v>0</v>
      </c>
      <c r="F286" s="630">
        <f t="shared" si="21"/>
        <v>0</v>
      </c>
      <c r="G286" s="631">
        <f t="shared" si="21"/>
        <v>0</v>
      </c>
      <c r="H286" s="630">
        <f t="shared" si="21"/>
        <v>0</v>
      </c>
      <c r="I286" s="621">
        <f t="shared" si="21"/>
        <v>0</v>
      </c>
    </row>
    <row r="287" spans="2:9">
      <c r="B287" s="627" t="str">
        <f>IF(AND($B80&lt;&gt;"(***)",OR($F80&lt;&gt;0,$H80&lt;&gt;0)),$B80,"")</f>
        <v/>
      </c>
      <c r="C287" s="619">
        <f t="shared" si="19"/>
        <v>0</v>
      </c>
      <c r="D287" s="621">
        <f t="shared" si="21"/>
        <v>0</v>
      </c>
      <c r="E287" s="621">
        <f t="shared" si="21"/>
        <v>0</v>
      </c>
      <c r="F287" s="630">
        <f t="shared" si="21"/>
        <v>0</v>
      </c>
      <c r="G287" s="631">
        <f t="shared" si="21"/>
        <v>0</v>
      </c>
      <c r="H287" s="630">
        <f t="shared" si="21"/>
        <v>0</v>
      </c>
      <c r="I287" s="621">
        <f t="shared" si="21"/>
        <v>0</v>
      </c>
    </row>
    <row r="288" spans="2:9" ht="13.8" thickBot="1">
      <c r="B288" s="627" t="str">
        <f>IF(AND($F283=0,$H283=0,$F284=0,$H284=0,$F285=0,$H285=0,$F286=0,$H286=0,$F287=0,$H287=0),"",B81)</f>
        <v/>
      </c>
      <c r="C288" s="619">
        <f t="shared" si="19"/>
        <v>0</v>
      </c>
      <c r="D288" s="621">
        <f t="shared" si="21"/>
        <v>0</v>
      </c>
      <c r="E288" s="621">
        <f t="shared" si="21"/>
        <v>0</v>
      </c>
      <c r="F288" s="633">
        <f t="shared" si="21"/>
        <v>0</v>
      </c>
      <c r="G288" s="631">
        <f t="shared" si="21"/>
        <v>0</v>
      </c>
      <c r="H288" s="633">
        <f t="shared" si="21"/>
        <v>0</v>
      </c>
      <c r="I288" s="621">
        <f t="shared" si="21"/>
        <v>0</v>
      </c>
    </row>
    <row r="289" spans="2:256" ht="13.8" thickTop="1">
      <c r="B289" s="627">
        <f>B82</f>
        <v>0</v>
      </c>
      <c r="C289" s="619">
        <f t="shared" si="19"/>
        <v>0</v>
      </c>
      <c r="D289" s="621">
        <f t="shared" ref="D289:I297" si="22">D82</f>
        <v>0</v>
      </c>
      <c r="E289" s="621">
        <f t="shared" si="22"/>
        <v>0</v>
      </c>
      <c r="F289" s="630">
        <f t="shared" si="22"/>
        <v>0</v>
      </c>
      <c r="G289" s="631">
        <f t="shared" si="22"/>
        <v>0</v>
      </c>
      <c r="H289" s="630">
        <f t="shared" si="22"/>
        <v>0</v>
      </c>
      <c r="I289" s="621">
        <f t="shared" si="22"/>
        <v>0</v>
      </c>
    </row>
    <row r="290" spans="2:256">
      <c r="B290" s="624" t="str">
        <f>IF(AND($F295=0,$H295=0,$F294=0,$H294=0,$F293=0,$H293=0,$F292=0,$H292=0,$F291=0,$H291=0),"",B83)</f>
        <v/>
      </c>
      <c r="C290" s="619">
        <f t="shared" si="19"/>
        <v>0</v>
      </c>
      <c r="D290" s="625" t="str">
        <f>IF(AND($F295=0,$H295=0,$F294=0,$H294=0,$F293=0,$H293=0,$F292=0,$H292=0,$F291=0,$H291=0),"",D83)</f>
        <v/>
      </c>
      <c r="E290" s="621">
        <f t="shared" si="22"/>
        <v>0</v>
      </c>
      <c r="F290" s="630">
        <f t="shared" si="22"/>
        <v>0</v>
      </c>
      <c r="G290" s="631">
        <f t="shared" si="22"/>
        <v>0</v>
      </c>
      <c r="H290" s="630">
        <f t="shared" si="22"/>
        <v>0</v>
      </c>
      <c r="I290" s="621">
        <f t="shared" si="22"/>
        <v>0</v>
      </c>
    </row>
    <row r="291" spans="2:256">
      <c r="B291" s="627" t="str">
        <f>IF(AND($B84&lt;&gt;"(***)",OR($F84&lt;&gt;0,$H84&lt;&gt;0)),$B84,"")</f>
        <v/>
      </c>
      <c r="C291" s="619">
        <f t="shared" si="19"/>
        <v>0</v>
      </c>
      <c r="D291" s="621">
        <f t="shared" si="22"/>
        <v>0</v>
      </c>
      <c r="E291" s="621">
        <f t="shared" si="22"/>
        <v>0</v>
      </c>
      <c r="F291" s="630">
        <f t="shared" si="22"/>
        <v>0</v>
      </c>
      <c r="G291" s="631">
        <f t="shared" si="22"/>
        <v>0</v>
      </c>
      <c r="H291" s="630">
        <f t="shared" si="22"/>
        <v>0</v>
      </c>
      <c r="I291" s="621">
        <f t="shared" si="22"/>
        <v>0</v>
      </c>
    </row>
    <row r="292" spans="2:256">
      <c r="B292" s="627" t="str">
        <f>IF(AND($B85&lt;&gt;"(***)",OR($F85&lt;&gt;0,$H85&lt;&gt;0)),$B85,"")</f>
        <v/>
      </c>
      <c r="C292" s="619">
        <f t="shared" si="19"/>
        <v>0</v>
      </c>
      <c r="D292" s="621">
        <f t="shared" si="22"/>
        <v>0</v>
      </c>
      <c r="E292" s="621">
        <f t="shared" si="22"/>
        <v>0</v>
      </c>
      <c r="F292" s="630">
        <f t="shared" si="22"/>
        <v>0</v>
      </c>
      <c r="G292" s="631">
        <f t="shared" si="22"/>
        <v>0</v>
      </c>
      <c r="H292" s="630">
        <f t="shared" si="22"/>
        <v>0</v>
      </c>
      <c r="I292" s="621">
        <f t="shared" si="22"/>
        <v>0</v>
      </c>
    </row>
    <row r="293" spans="2:256">
      <c r="B293" s="627" t="str">
        <f>IF(AND($B86&lt;&gt;"(***)",OR($F86&lt;&gt;0,$H86&lt;&gt;0)),$B86,"")</f>
        <v/>
      </c>
      <c r="C293" s="619">
        <f t="shared" si="19"/>
        <v>0</v>
      </c>
      <c r="D293" s="621">
        <f t="shared" si="22"/>
        <v>0</v>
      </c>
      <c r="E293" s="621">
        <f t="shared" si="22"/>
        <v>0</v>
      </c>
      <c r="F293" s="630">
        <f t="shared" si="22"/>
        <v>0</v>
      </c>
      <c r="G293" s="631">
        <f t="shared" si="22"/>
        <v>0</v>
      </c>
      <c r="H293" s="630">
        <f t="shared" si="22"/>
        <v>0</v>
      </c>
      <c r="I293" s="621">
        <f t="shared" si="22"/>
        <v>0</v>
      </c>
    </row>
    <row r="294" spans="2:256">
      <c r="B294" s="627" t="str">
        <f>IF(AND($B87&lt;&gt;"(***)",OR($F87&lt;&gt;0,$H87&lt;&gt;0)),$B87,"")</f>
        <v/>
      </c>
      <c r="C294" s="619">
        <f>C87</f>
        <v>0</v>
      </c>
      <c r="D294" s="621">
        <f t="shared" si="22"/>
        <v>0</v>
      </c>
      <c r="E294" s="621">
        <f t="shared" si="22"/>
        <v>0</v>
      </c>
      <c r="F294" s="630">
        <f t="shared" si="22"/>
        <v>0</v>
      </c>
      <c r="G294" s="631">
        <f t="shared" si="22"/>
        <v>0</v>
      </c>
      <c r="H294" s="630">
        <f t="shared" si="22"/>
        <v>0</v>
      </c>
      <c r="I294" s="621">
        <f t="shared" si="22"/>
        <v>0</v>
      </c>
    </row>
    <row r="295" spans="2:256">
      <c r="B295" s="627" t="str">
        <f>IF(AND($B88&lt;&gt;"(***)",OR($F88&lt;&gt;0,$H88&lt;&gt;0)),$B88,"")</f>
        <v/>
      </c>
      <c r="C295" s="619">
        <f>C88</f>
        <v>0</v>
      </c>
      <c r="D295" s="621">
        <f t="shared" si="22"/>
        <v>0</v>
      </c>
      <c r="E295" s="621">
        <f t="shared" si="22"/>
        <v>0</v>
      </c>
      <c r="F295" s="630">
        <f t="shared" si="22"/>
        <v>0</v>
      </c>
      <c r="G295" s="631">
        <f t="shared" si="22"/>
        <v>0</v>
      </c>
      <c r="H295" s="630">
        <f t="shared" si="22"/>
        <v>0</v>
      </c>
      <c r="I295" s="621">
        <f t="shared" si="22"/>
        <v>0</v>
      </c>
    </row>
    <row r="296" spans="2:256" ht="13.8" thickBot="1">
      <c r="B296" s="627" t="str">
        <f>IF(AND($F291=0,$H291=0,$F292=0,$H292=0,$F293=0,$H293=0,$F294=0,$H294=0,$F295=0,$H295=0),"",B89)</f>
        <v/>
      </c>
      <c r="C296" s="619">
        <f>C89</f>
        <v>0</v>
      </c>
      <c r="D296" s="621">
        <f t="shared" si="22"/>
        <v>0</v>
      </c>
      <c r="E296" s="621">
        <f t="shared" si="22"/>
        <v>0</v>
      </c>
      <c r="F296" s="633">
        <f t="shared" si="22"/>
        <v>0</v>
      </c>
      <c r="G296" s="631">
        <f t="shared" si="22"/>
        <v>0</v>
      </c>
      <c r="H296" s="633">
        <f t="shared" si="22"/>
        <v>0</v>
      </c>
      <c r="I296" s="621">
        <f t="shared" si="22"/>
        <v>0</v>
      </c>
    </row>
    <row r="297" spans="2:256" ht="13.8" thickTop="1">
      <c r="B297" s="627">
        <f>B90</f>
        <v>0</v>
      </c>
      <c r="C297" s="619">
        <f>C90</f>
        <v>0</v>
      </c>
      <c r="D297" s="621">
        <f t="shared" si="22"/>
        <v>0</v>
      </c>
      <c r="E297" s="621">
        <f t="shared" si="22"/>
        <v>0</v>
      </c>
      <c r="F297" s="630">
        <f t="shared" si="22"/>
        <v>0</v>
      </c>
      <c r="G297" s="631">
        <f t="shared" si="22"/>
        <v>0</v>
      </c>
      <c r="H297" s="630">
        <f t="shared" si="22"/>
        <v>0</v>
      </c>
      <c r="I297" s="621">
        <f t="shared" si="22"/>
        <v>0</v>
      </c>
    </row>
    <row r="298" spans="2:256">
      <c r="B298" s="2634" t="str">
        <f>IF(AND($F303=0,$H303=0,$F302=0,$H302=0,$F301=0,$H301=0,$F300=0,$H300=0,$F299=0,$H299=0),"",B91)</f>
        <v/>
      </c>
      <c r="C298" s="621">
        <f t="shared" ref="C298:BL302" si="23">C91</f>
        <v>0</v>
      </c>
      <c r="D298" s="625" t="str">
        <f>IF(AND($F303=0,$H303=0,$F302=0,$H302=0,$F301=0,$H301=0,$F300=0,$H300=0,$F299=0,$H299=0),"",D91)</f>
        <v/>
      </c>
      <c r="E298" s="621">
        <f t="shared" si="23"/>
        <v>0</v>
      </c>
      <c r="F298" s="630">
        <f t="shared" si="23"/>
        <v>0</v>
      </c>
      <c r="G298" s="631">
        <f t="shared" si="23"/>
        <v>0</v>
      </c>
      <c r="H298" s="631">
        <f t="shared" si="23"/>
        <v>0</v>
      </c>
      <c r="I298" s="621"/>
      <c r="J298" s="570">
        <f>J91</f>
        <v>0</v>
      </c>
      <c r="K298" s="570">
        <f t="shared" si="23"/>
        <v>0</v>
      </c>
      <c r="L298" s="570">
        <f t="shared" si="23"/>
        <v>0</v>
      </c>
      <c r="M298" s="570">
        <f t="shared" si="23"/>
        <v>0</v>
      </c>
      <c r="N298" s="570">
        <f t="shared" si="23"/>
        <v>0</v>
      </c>
      <c r="O298" s="570">
        <f t="shared" si="23"/>
        <v>0</v>
      </c>
      <c r="P298" s="570">
        <f t="shared" si="23"/>
        <v>0</v>
      </c>
      <c r="R298" s="570">
        <f>R91</f>
        <v>0</v>
      </c>
      <c r="S298" s="570">
        <f t="shared" si="23"/>
        <v>0</v>
      </c>
      <c r="T298" s="570">
        <f t="shared" si="23"/>
        <v>0</v>
      </c>
      <c r="U298" s="570">
        <f t="shared" si="23"/>
        <v>0</v>
      </c>
      <c r="V298" s="570">
        <f t="shared" si="23"/>
        <v>0</v>
      </c>
      <c r="W298" s="570">
        <f t="shared" si="23"/>
        <v>0</v>
      </c>
      <c r="X298" s="570">
        <f t="shared" si="23"/>
        <v>0</v>
      </c>
      <c r="Z298" s="570">
        <f>Z91</f>
        <v>0</v>
      </c>
      <c r="AA298" s="570">
        <f t="shared" si="23"/>
        <v>0</v>
      </c>
      <c r="AB298" s="570">
        <f t="shared" si="23"/>
        <v>0</v>
      </c>
      <c r="AC298" s="570">
        <f t="shared" si="23"/>
        <v>0</v>
      </c>
      <c r="AD298" s="570">
        <f t="shared" si="23"/>
        <v>0</v>
      </c>
      <c r="AE298" s="570">
        <f t="shared" si="23"/>
        <v>0</v>
      </c>
      <c r="AF298" s="570">
        <f t="shared" si="23"/>
        <v>0</v>
      </c>
      <c r="AH298" s="570">
        <f>AH91</f>
        <v>0</v>
      </c>
      <c r="AI298" s="570">
        <f t="shared" si="23"/>
        <v>0</v>
      </c>
      <c r="AJ298" s="570">
        <f t="shared" si="23"/>
        <v>0</v>
      </c>
      <c r="AK298" s="570">
        <f t="shared" si="23"/>
        <v>0</v>
      </c>
      <c r="AL298" s="570">
        <f t="shared" si="23"/>
        <v>0</v>
      </c>
      <c r="AM298" s="570">
        <f t="shared" si="23"/>
        <v>0</v>
      </c>
      <c r="AN298" s="570">
        <f t="shared" si="23"/>
        <v>0</v>
      </c>
      <c r="AP298" s="570">
        <f>AP91</f>
        <v>0</v>
      </c>
      <c r="AQ298" s="570">
        <f t="shared" si="23"/>
        <v>0</v>
      </c>
      <c r="AR298" s="570">
        <f t="shared" si="23"/>
        <v>0</v>
      </c>
      <c r="AS298" s="570">
        <f t="shared" si="23"/>
        <v>0</v>
      </c>
      <c r="AT298" s="570">
        <f t="shared" si="23"/>
        <v>0</v>
      </c>
      <c r="AU298" s="570">
        <f t="shared" si="23"/>
        <v>0</v>
      </c>
      <c r="AV298" s="570">
        <f t="shared" si="23"/>
        <v>0</v>
      </c>
      <c r="AX298" s="570">
        <f>AX91</f>
        <v>0</v>
      </c>
      <c r="AY298" s="570">
        <f t="shared" si="23"/>
        <v>0</v>
      </c>
      <c r="AZ298" s="570">
        <f t="shared" si="23"/>
        <v>0</v>
      </c>
      <c r="BA298" s="570">
        <f t="shared" si="23"/>
        <v>0</v>
      </c>
      <c r="BB298" s="570">
        <f t="shared" si="23"/>
        <v>0</v>
      </c>
      <c r="BC298" s="570">
        <f t="shared" si="23"/>
        <v>0</v>
      </c>
      <c r="BD298" s="570">
        <f t="shared" si="23"/>
        <v>0</v>
      </c>
      <c r="BF298" s="570">
        <f>BF91</f>
        <v>0</v>
      </c>
      <c r="BG298" s="570">
        <f t="shared" si="23"/>
        <v>0</v>
      </c>
      <c r="BH298" s="570">
        <f t="shared" si="23"/>
        <v>0</v>
      </c>
      <c r="BI298" s="570">
        <f t="shared" si="23"/>
        <v>0</v>
      </c>
      <c r="BJ298" s="570">
        <f t="shared" si="23"/>
        <v>0</v>
      </c>
      <c r="BK298" s="570">
        <f t="shared" si="23"/>
        <v>0</v>
      </c>
      <c r="BL298" s="570">
        <f t="shared" si="23"/>
        <v>0</v>
      </c>
      <c r="BN298" s="570">
        <f t="shared" ref="BN298:DX302" si="24">BN91</f>
        <v>0</v>
      </c>
      <c r="BO298" s="570">
        <f t="shared" si="24"/>
        <v>0</v>
      </c>
      <c r="BP298" s="570">
        <f t="shared" si="24"/>
        <v>0</v>
      </c>
      <c r="BQ298" s="570">
        <f t="shared" si="24"/>
        <v>0</v>
      </c>
      <c r="BR298" s="570">
        <f t="shared" si="24"/>
        <v>0</v>
      </c>
      <c r="BS298" s="570">
        <f t="shared" si="24"/>
        <v>0</v>
      </c>
      <c r="BT298" s="570">
        <f t="shared" si="24"/>
        <v>0</v>
      </c>
      <c r="BV298" s="570">
        <f>BV91</f>
        <v>0</v>
      </c>
      <c r="BW298" s="570">
        <f t="shared" si="24"/>
        <v>0</v>
      </c>
      <c r="BX298" s="570">
        <f t="shared" si="24"/>
        <v>0</v>
      </c>
      <c r="BY298" s="570">
        <f t="shared" si="24"/>
        <v>0</v>
      </c>
      <c r="BZ298" s="570">
        <f t="shared" si="24"/>
        <v>0</v>
      </c>
      <c r="CA298" s="570">
        <f t="shared" si="24"/>
        <v>0</v>
      </c>
      <c r="CB298" s="570">
        <f t="shared" si="24"/>
        <v>0</v>
      </c>
      <c r="CD298" s="570">
        <f>CD91</f>
        <v>0</v>
      </c>
      <c r="CE298" s="570">
        <f t="shared" si="24"/>
        <v>0</v>
      </c>
      <c r="CF298" s="570">
        <f t="shared" si="24"/>
        <v>0</v>
      </c>
      <c r="CG298" s="570">
        <f t="shared" si="24"/>
        <v>0</v>
      </c>
      <c r="CH298" s="570">
        <f t="shared" si="24"/>
        <v>0</v>
      </c>
      <c r="CI298" s="570">
        <f t="shared" si="24"/>
        <v>0</v>
      </c>
      <c r="CJ298" s="570">
        <f t="shared" si="24"/>
        <v>0</v>
      </c>
      <c r="CL298" s="570">
        <f>CL91</f>
        <v>0</v>
      </c>
      <c r="CM298" s="570">
        <f t="shared" si="24"/>
        <v>0</v>
      </c>
      <c r="CN298" s="570">
        <f t="shared" si="24"/>
        <v>0</v>
      </c>
      <c r="CO298" s="570">
        <f t="shared" si="24"/>
        <v>0</v>
      </c>
      <c r="CP298" s="570">
        <f t="shared" si="24"/>
        <v>0</v>
      </c>
      <c r="CQ298" s="570">
        <f t="shared" si="24"/>
        <v>0</v>
      </c>
      <c r="CR298" s="570">
        <f t="shared" si="24"/>
        <v>0</v>
      </c>
      <c r="CT298" s="570">
        <f>CT91</f>
        <v>0</v>
      </c>
      <c r="CU298" s="570">
        <f t="shared" si="24"/>
        <v>0</v>
      </c>
      <c r="CV298" s="570">
        <f t="shared" si="24"/>
        <v>0</v>
      </c>
      <c r="CW298" s="570">
        <f t="shared" si="24"/>
        <v>0</v>
      </c>
      <c r="CX298" s="570">
        <f t="shared" si="24"/>
        <v>0</v>
      </c>
      <c r="CY298" s="570">
        <f t="shared" si="24"/>
        <v>0</v>
      </c>
      <c r="CZ298" s="570">
        <f t="shared" si="24"/>
        <v>0</v>
      </c>
      <c r="DB298" s="570">
        <f>DB91</f>
        <v>0</v>
      </c>
      <c r="DC298" s="570">
        <f t="shared" si="24"/>
        <v>0</v>
      </c>
      <c r="DD298" s="570">
        <f t="shared" si="24"/>
        <v>0</v>
      </c>
      <c r="DE298" s="570">
        <f t="shared" si="24"/>
        <v>0</v>
      </c>
      <c r="DF298" s="570">
        <f t="shared" si="24"/>
        <v>0</v>
      </c>
      <c r="DG298" s="570">
        <f t="shared" si="24"/>
        <v>0</v>
      </c>
      <c r="DH298" s="570">
        <f t="shared" si="24"/>
        <v>0</v>
      </c>
      <c r="DJ298" s="570">
        <f>DJ91</f>
        <v>0</v>
      </c>
      <c r="DK298" s="570">
        <f t="shared" si="24"/>
        <v>0</v>
      </c>
      <c r="DL298" s="570">
        <f t="shared" si="24"/>
        <v>0</v>
      </c>
      <c r="DM298" s="570">
        <f t="shared" si="24"/>
        <v>0</v>
      </c>
      <c r="DN298" s="570">
        <f t="shared" si="24"/>
        <v>0</v>
      </c>
      <c r="DO298" s="570">
        <f t="shared" si="24"/>
        <v>0</v>
      </c>
      <c r="DP298" s="570">
        <f t="shared" si="24"/>
        <v>0</v>
      </c>
      <c r="DR298" s="570">
        <f>DR91</f>
        <v>0</v>
      </c>
      <c r="DS298" s="570">
        <f t="shared" si="24"/>
        <v>0</v>
      </c>
      <c r="DT298" s="570">
        <f t="shared" si="24"/>
        <v>0</v>
      </c>
      <c r="DU298" s="570">
        <f t="shared" si="24"/>
        <v>0</v>
      </c>
      <c r="DV298" s="570">
        <f t="shared" si="24"/>
        <v>0</v>
      </c>
      <c r="DW298" s="570">
        <f t="shared" si="24"/>
        <v>0</v>
      </c>
      <c r="DX298" s="570">
        <f t="shared" si="24"/>
        <v>0</v>
      </c>
      <c r="DZ298" s="570">
        <f t="shared" ref="DZ298:GJ302" si="25">DZ91</f>
        <v>0</v>
      </c>
      <c r="EA298" s="570">
        <f t="shared" si="25"/>
        <v>0</v>
      </c>
      <c r="EB298" s="570">
        <f t="shared" si="25"/>
        <v>0</v>
      </c>
      <c r="EC298" s="570">
        <f t="shared" si="25"/>
        <v>0</v>
      </c>
      <c r="ED298" s="570">
        <f t="shared" si="25"/>
        <v>0</v>
      </c>
      <c r="EE298" s="570">
        <f t="shared" si="25"/>
        <v>0</v>
      </c>
      <c r="EF298" s="570">
        <f t="shared" si="25"/>
        <v>0</v>
      </c>
      <c r="EH298" s="570">
        <f>EH91</f>
        <v>0</v>
      </c>
      <c r="EI298" s="570">
        <f t="shared" si="25"/>
        <v>0</v>
      </c>
      <c r="EJ298" s="570">
        <f t="shared" si="25"/>
        <v>0</v>
      </c>
      <c r="EK298" s="570">
        <f t="shared" si="25"/>
        <v>0</v>
      </c>
      <c r="EL298" s="570">
        <f t="shared" si="25"/>
        <v>0</v>
      </c>
      <c r="EM298" s="570">
        <f t="shared" si="25"/>
        <v>0</v>
      </c>
      <c r="EN298" s="570">
        <f t="shared" si="25"/>
        <v>0</v>
      </c>
      <c r="EP298" s="570">
        <f>EP91</f>
        <v>0</v>
      </c>
      <c r="EQ298" s="570">
        <f t="shared" si="25"/>
        <v>0</v>
      </c>
      <c r="ER298" s="570">
        <f t="shared" si="25"/>
        <v>0</v>
      </c>
      <c r="ES298" s="570">
        <f t="shared" si="25"/>
        <v>0</v>
      </c>
      <c r="ET298" s="570">
        <f t="shared" si="25"/>
        <v>0</v>
      </c>
      <c r="EU298" s="570">
        <f t="shared" si="25"/>
        <v>0</v>
      </c>
      <c r="EV298" s="570">
        <f t="shared" si="25"/>
        <v>0</v>
      </c>
      <c r="EX298" s="570">
        <f>EX91</f>
        <v>0</v>
      </c>
      <c r="EY298" s="570">
        <f t="shared" si="25"/>
        <v>0</v>
      </c>
      <c r="EZ298" s="570">
        <f t="shared" si="25"/>
        <v>0</v>
      </c>
      <c r="FA298" s="570">
        <f t="shared" si="25"/>
        <v>0</v>
      </c>
      <c r="FB298" s="570">
        <f t="shared" si="25"/>
        <v>0</v>
      </c>
      <c r="FC298" s="570">
        <f t="shared" si="25"/>
        <v>0</v>
      </c>
      <c r="FD298" s="570">
        <f t="shared" si="25"/>
        <v>0</v>
      </c>
      <c r="FF298" s="570">
        <f>FF91</f>
        <v>0</v>
      </c>
      <c r="FG298" s="570">
        <f t="shared" si="25"/>
        <v>0</v>
      </c>
      <c r="FH298" s="570">
        <f t="shared" si="25"/>
        <v>0</v>
      </c>
      <c r="FI298" s="570">
        <f t="shared" si="25"/>
        <v>0</v>
      </c>
      <c r="FJ298" s="570">
        <f t="shared" si="25"/>
        <v>0</v>
      </c>
      <c r="FK298" s="570">
        <f t="shared" si="25"/>
        <v>0</v>
      </c>
      <c r="FL298" s="570">
        <f t="shared" si="25"/>
        <v>0</v>
      </c>
      <c r="FN298" s="570">
        <f>FN91</f>
        <v>0</v>
      </c>
      <c r="FO298" s="570">
        <f t="shared" si="25"/>
        <v>0</v>
      </c>
      <c r="FP298" s="570">
        <f t="shared" si="25"/>
        <v>0</v>
      </c>
      <c r="FQ298" s="570">
        <f t="shared" si="25"/>
        <v>0</v>
      </c>
      <c r="FR298" s="570">
        <f t="shared" si="25"/>
        <v>0</v>
      </c>
      <c r="FS298" s="570">
        <f t="shared" si="25"/>
        <v>0</v>
      </c>
      <c r="FT298" s="570">
        <f t="shared" si="25"/>
        <v>0</v>
      </c>
      <c r="FV298" s="570">
        <f>FV91</f>
        <v>0</v>
      </c>
      <c r="FW298" s="570">
        <f t="shared" si="25"/>
        <v>0</v>
      </c>
      <c r="FX298" s="570">
        <f t="shared" si="25"/>
        <v>0</v>
      </c>
      <c r="FY298" s="570">
        <f t="shared" si="25"/>
        <v>0</v>
      </c>
      <c r="FZ298" s="570">
        <f t="shared" si="25"/>
        <v>0</v>
      </c>
      <c r="GA298" s="570">
        <f t="shared" si="25"/>
        <v>0</v>
      </c>
      <c r="GB298" s="570">
        <f t="shared" si="25"/>
        <v>0</v>
      </c>
      <c r="GD298" s="570">
        <f>GD91</f>
        <v>0</v>
      </c>
      <c r="GE298" s="570">
        <f t="shared" si="25"/>
        <v>0</v>
      </c>
      <c r="GF298" s="570">
        <f t="shared" si="25"/>
        <v>0</v>
      </c>
      <c r="GG298" s="570">
        <f t="shared" si="25"/>
        <v>0</v>
      </c>
      <c r="GH298" s="570">
        <f t="shared" si="25"/>
        <v>0</v>
      </c>
      <c r="GI298" s="570">
        <f t="shared" si="25"/>
        <v>0</v>
      </c>
      <c r="GJ298" s="570">
        <f t="shared" si="25"/>
        <v>0</v>
      </c>
      <c r="GL298" s="570">
        <f t="shared" ref="GL298:IV302" si="26">GL91</f>
        <v>0</v>
      </c>
      <c r="GM298" s="570">
        <f t="shared" si="26"/>
        <v>0</v>
      </c>
      <c r="GN298" s="570">
        <f t="shared" si="26"/>
        <v>0</v>
      </c>
      <c r="GO298" s="570">
        <f t="shared" si="26"/>
        <v>0</v>
      </c>
      <c r="GP298" s="570">
        <f t="shared" si="26"/>
        <v>0</v>
      </c>
      <c r="GQ298" s="570">
        <f t="shared" si="26"/>
        <v>0</v>
      </c>
      <c r="GR298" s="570">
        <f t="shared" si="26"/>
        <v>0</v>
      </c>
      <c r="GT298" s="570">
        <f>GT91</f>
        <v>0</v>
      </c>
      <c r="GU298" s="570">
        <f t="shared" si="26"/>
        <v>0</v>
      </c>
      <c r="GV298" s="570">
        <f t="shared" si="26"/>
        <v>0</v>
      </c>
      <c r="GW298" s="570">
        <f t="shared" si="26"/>
        <v>0</v>
      </c>
      <c r="GX298" s="570">
        <f t="shared" si="26"/>
        <v>0</v>
      </c>
      <c r="GY298" s="570">
        <f t="shared" si="26"/>
        <v>0</v>
      </c>
      <c r="GZ298" s="570">
        <f t="shared" si="26"/>
        <v>0</v>
      </c>
      <c r="HB298" s="570">
        <f>HB91</f>
        <v>0</v>
      </c>
      <c r="HC298" s="570">
        <f t="shared" si="26"/>
        <v>0</v>
      </c>
      <c r="HD298" s="570">
        <f t="shared" si="26"/>
        <v>0</v>
      </c>
      <c r="HE298" s="570">
        <f t="shared" si="26"/>
        <v>0</v>
      </c>
      <c r="HF298" s="570">
        <f t="shared" si="26"/>
        <v>0</v>
      </c>
      <c r="HG298" s="570">
        <f t="shared" si="26"/>
        <v>0</v>
      </c>
      <c r="HH298" s="570">
        <f t="shared" si="26"/>
        <v>0</v>
      </c>
      <c r="HJ298" s="570">
        <f>HJ91</f>
        <v>0</v>
      </c>
      <c r="HK298" s="570">
        <f t="shared" si="26"/>
        <v>0</v>
      </c>
      <c r="HL298" s="570">
        <f t="shared" si="26"/>
        <v>0</v>
      </c>
      <c r="HM298" s="570">
        <f t="shared" si="26"/>
        <v>0</v>
      </c>
      <c r="HN298" s="570">
        <f t="shared" si="26"/>
        <v>0</v>
      </c>
      <c r="HO298" s="570">
        <f t="shared" si="26"/>
        <v>0</v>
      </c>
      <c r="HP298" s="570">
        <f t="shared" si="26"/>
        <v>0</v>
      </c>
      <c r="HR298" s="570">
        <f>HR91</f>
        <v>0</v>
      </c>
      <c r="HS298" s="570">
        <f t="shared" si="26"/>
        <v>0</v>
      </c>
      <c r="HT298" s="570">
        <f t="shared" si="26"/>
        <v>0</v>
      </c>
      <c r="HU298" s="570">
        <f t="shared" si="26"/>
        <v>0</v>
      </c>
      <c r="HV298" s="570">
        <f t="shared" si="26"/>
        <v>0</v>
      </c>
      <c r="HW298" s="570">
        <f t="shared" si="26"/>
        <v>0</v>
      </c>
      <c r="HX298" s="570">
        <f t="shared" si="26"/>
        <v>0</v>
      </c>
      <c r="HZ298" s="570">
        <f>HZ91</f>
        <v>0</v>
      </c>
      <c r="IA298" s="570">
        <f t="shared" si="26"/>
        <v>0</v>
      </c>
      <c r="IB298" s="570">
        <f t="shared" si="26"/>
        <v>0</v>
      </c>
      <c r="IC298" s="570">
        <f t="shared" si="26"/>
        <v>0</v>
      </c>
      <c r="ID298" s="570">
        <f t="shared" si="26"/>
        <v>0</v>
      </c>
      <c r="IE298" s="570">
        <f t="shared" si="26"/>
        <v>0</v>
      </c>
      <c r="IF298" s="570">
        <f t="shared" si="26"/>
        <v>0</v>
      </c>
      <c r="IH298" s="570">
        <f>IH91</f>
        <v>0</v>
      </c>
      <c r="II298" s="570">
        <f t="shared" si="26"/>
        <v>0</v>
      </c>
      <c r="IJ298" s="570">
        <f t="shared" si="26"/>
        <v>0</v>
      </c>
      <c r="IK298" s="570">
        <f t="shared" si="26"/>
        <v>0</v>
      </c>
      <c r="IL298" s="570">
        <f t="shared" si="26"/>
        <v>0</v>
      </c>
      <c r="IM298" s="570">
        <f t="shared" si="26"/>
        <v>0</v>
      </c>
      <c r="IN298" s="570">
        <f t="shared" si="26"/>
        <v>0</v>
      </c>
      <c r="IP298" s="570">
        <f>IP91</f>
        <v>0</v>
      </c>
      <c r="IQ298" s="570">
        <f t="shared" si="26"/>
        <v>0</v>
      </c>
      <c r="IR298" s="570">
        <f t="shared" si="26"/>
        <v>0</v>
      </c>
      <c r="IS298" s="570">
        <f t="shared" si="26"/>
        <v>0</v>
      </c>
      <c r="IT298" s="570">
        <f t="shared" si="26"/>
        <v>0</v>
      </c>
      <c r="IU298" s="570">
        <f t="shared" si="26"/>
        <v>0</v>
      </c>
      <c r="IV298" s="570">
        <f t="shared" si="26"/>
        <v>0</v>
      </c>
    </row>
    <row r="299" spans="2:256">
      <c r="B299" s="615" t="str">
        <f>IF(AND($B92&lt;&gt;"(***)",OR($F92&lt;&gt;0,$H92&lt;&gt;0)),$B92,"")</f>
        <v/>
      </c>
      <c r="C299" s="614">
        <f t="shared" si="23"/>
        <v>0</v>
      </c>
      <c r="D299" s="621">
        <f t="shared" si="23"/>
        <v>0</v>
      </c>
      <c r="E299" s="621">
        <f t="shared" si="23"/>
        <v>0</v>
      </c>
      <c r="F299" s="626">
        <f t="shared" si="23"/>
        <v>0</v>
      </c>
      <c r="G299" s="621">
        <f t="shared" si="23"/>
        <v>0</v>
      </c>
      <c r="H299" s="626">
        <f t="shared" si="23"/>
        <v>0</v>
      </c>
      <c r="I299" s="621"/>
      <c r="J299" s="570">
        <f>J92</f>
        <v>0</v>
      </c>
      <c r="K299" s="570">
        <f t="shared" si="23"/>
        <v>0</v>
      </c>
      <c r="L299" s="570">
        <f t="shared" si="23"/>
        <v>0</v>
      </c>
      <c r="M299" s="570">
        <f t="shared" si="23"/>
        <v>0</v>
      </c>
      <c r="N299" s="570">
        <f t="shared" si="23"/>
        <v>0</v>
      </c>
      <c r="O299" s="570">
        <f t="shared" si="23"/>
        <v>0</v>
      </c>
      <c r="P299" s="570">
        <f t="shared" si="23"/>
        <v>0</v>
      </c>
      <c r="R299" s="570">
        <f>R92</f>
        <v>0</v>
      </c>
      <c r="S299" s="570">
        <f t="shared" si="23"/>
        <v>0</v>
      </c>
      <c r="T299" s="570">
        <f t="shared" si="23"/>
        <v>0</v>
      </c>
      <c r="U299" s="570">
        <f t="shared" si="23"/>
        <v>0</v>
      </c>
      <c r="V299" s="570">
        <f t="shared" si="23"/>
        <v>0</v>
      </c>
      <c r="W299" s="570">
        <f t="shared" si="23"/>
        <v>0</v>
      </c>
      <c r="X299" s="570">
        <f t="shared" si="23"/>
        <v>0</v>
      </c>
      <c r="Z299" s="570">
        <f>Z92</f>
        <v>0</v>
      </c>
      <c r="AA299" s="570">
        <f t="shared" si="23"/>
        <v>0</v>
      </c>
      <c r="AB299" s="570">
        <f t="shared" si="23"/>
        <v>0</v>
      </c>
      <c r="AC299" s="570">
        <f t="shared" si="23"/>
        <v>0</v>
      </c>
      <c r="AD299" s="570">
        <f t="shared" si="23"/>
        <v>0</v>
      </c>
      <c r="AE299" s="570">
        <f t="shared" si="23"/>
        <v>0</v>
      </c>
      <c r="AF299" s="570">
        <f t="shared" si="23"/>
        <v>0</v>
      </c>
      <c r="AH299" s="570">
        <f>AH92</f>
        <v>0</v>
      </c>
      <c r="AI299" s="570">
        <f t="shared" si="23"/>
        <v>0</v>
      </c>
      <c r="AJ299" s="570">
        <f t="shared" si="23"/>
        <v>0</v>
      </c>
      <c r="AK299" s="570">
        <f t="shared" si="23"/>
        <v>0</v>
      </c>
      <c r="AL299" s="570">
        <f t="shared" si="23"/>
        <v>0</v>
      </c>
      <c r="AM299" s="570">
        <f t="shared" si="23"/>
        <v>0</v>
      </c>
      <c r="AN299" s="570">
        <f t="shared" si="23"/>
        <v>0</v>
      </c>
      <c r="AP299" s="570">
        <f>AP92</f>
        <v>0</v>
      </c>
      <c r="AQ299" s="570">
        <f t="shared" si="23"/>
        <v>0</v>
      </c>
      <c r="AR299" s="570">
        <f t="shared" si="23"/>
        <v>0</v>
      </c>
      <c r="AS299" s="570">
        <f t="shared" si="23"/>
        <v>0</v>
      </c>
      <c r="AT299" s="570">
        <f t="shared" si="23"/>
        <v>0</v>
      </c>
      <c r="AU299" s="570">
        <f t="shared" si="23"/>
        <v>0</v>
      </c>
      <c r="AV299" s="570">
        <f t="shared" si="23"/>
        <v>0</v>
      </c>
      <c r="AX299" s="570">
        <f>AX92</f>
        <v>0</v>
      </c>
      <c r="AY299" s="570">
        <f t="shared" si="23"/>
        <v>0</v>
      </c>
      <c r="AZ299" s="570">
        <f t="shared" si="23"/>
        <v>0</v>
      </c>
      <c r="BA299" s="570">
        <f t="shared" si="23"/>
        <v>0</v>
      </c>
      <c r="BB299" s="570">
        <f t="shared" si="23"/>
        <v>0</v>
      </c>
      <c r="BC299" s="570">
        <f t="shared" si="23"/>
        <v>0</v>
      </c>
      <c r="BD299" s="570">
        <f t="shared" si="23"/>
        <v>0</v>
      </c>
      <c r="BF299" s="570">
        <f>BF92</f>
        <v>0</v>
      </c>
      <c r="BG299" s="570">
        <f t="shared" si="23"/>
        <v>0</v>
      </c>
      <c r="BH299" s="570">
        <f t="shared" si="23"/>
        <v>0</v>
      </c>
      <c r="BI299" s="570">
        <f t="shared" si="23"/>
        <v>0</v>
      </c>
      <c r="BJ299" s="570">
        <f t="shared" si="23"/>
        <v>0</v>
      </c>
      <c r="BK299" s="570">
        <f t="shared" si="23"/>
        <v>0</v>
      </c>
      <c r="BL299" s="570">
        <f t="shared" si="23"/>
        <v>0</v>
      </c>
      <c r="BN299" s="570">
        <f>BN92</f>
        <v>0</v>
      </c>
      <c r="BO299" s="570">
        <f t="shared" si="24"/>
        <v>0</v>
      </c>
      <c r="BP299" s="570">
        <f t="shared" si="24"/>
        <v>0</v>
      </c>
      <c r="BQ299" s="570">
        <f t="shared" si="24"/>
        <v>0</v>
      </c>
      <c r="BR299" s="570">
        <f t="shared" si="24"/>
        <v>0</v>
      </c>
      <c r="BS299" s="570">
        <f t="shared" si="24"/>
        <v>0</v>
      </c>
      <c r="BT299" s="570">
        <f t="shared" si="24"/>
        <v>0</v>
      </c>
      <c r="BV299" s="570">
        <f>BV92</f>
        <v>0</v>
      </c>
      <c r="BW299" s="570">
        <f t="shared" si="24"/>
        <v>0</v>
      </c>
      <c r="BX299" s="570">
        <f t="shared" si="24"/>
        <v>0</v>
      </c>
      <c r="BY299" s="570">
        <f t="shared" si="24"/>
        <v>0</v>
      </c>
      <c r="BZ299" s="570">
        <f t="shared" si="24"/>
        <v>0</v>
      </c>
      <c r="CA299" s="570">
        <f t="shared" si="24"/>
        <v>0</v>
      </c>
      <c r="CB299" s="570">
        <f t="shared" si="24"/>
        <v>0</v>
      </c>
      <c r="CD299" s="570">
        <f>CD92</f>
        <v>0</v>
      </c>
      <c r="CE299" s="570">
        <f t="shared" si="24"/>
        <v>0</v>
      </c>
      <c r="CF299" s="570">
        <f t="shared" si="24"/>
        <v>0</v>
      </c>
      <c r="CG299" s="570">
        <f t="shared" si="24"/>
        <v>0</v>
      </c>
      <c r="CH299" s="570">
        <f t="shared" si="24"/>
        <v>0</v>
      </c>
      <c r="CI299" s="570">
        <f t="shared" si="24"/>
        <v>0</v>
      </c>
      <c r="CJ299" s="570">
        <f t="shared" si="24"/>
        <v>0</v>
      </c>
      <c r="CL299" s="570">
        <f>CL92</f>
        <v>0</v>
      </c>
      <c r="CM299" s="570">
        <f t="shared" si="24"/>
        <v>0</v>
      </c>
      <c r="CN299" s="570">
        <f t="shared" si="24"/>
        <v>0</v>
      </c>
      <c r="CO299" s="570">
        <f t="shared" si="24"/>
        <v>0</v>
      </c>
      <c r="CP299" s="570">
        <f t="shared" si="24"/>
        <v>0</v>
      </c>
      <c r="CQ299" s="570">
        <f t="shared" si="24"/>
        <v>0</v>
      </c>
      <c r="CR299" s="570">
        <f t="shared" si="24"/>
        <v>0</v>
      </c>
      <c r="CT299" s="570">
        <f>CT92</f>
        <v>0</v>
      </c>
      <c r="CU299" s="570">
        <f t="shared" si="24"/>
        <v>0</v>
      </c>
      <c r="CV299" s="570">
        <f t="shared" si="24"/>
        <v>0</v>
      </c>
      <c r="CW299" s="570">
        <f t="shared" si="24"/>
        <v>0</v>
      </c>
      <c r="CX299" s="570">
        <f t="shared" si="24"/>
        <v>0</v>
      </c>
      <c r="CY299" s="570">
        <f t="shared" si="24"/>
        <v>0</v>
      </c>
      <c r="CZ299" s="570">
        <f t="shared" si="24"/>
        <v>0</v>
      </c>
      <c r="DB299" s="570">
        <f>DB92</f>
        <v>0</v>
      </c>
      <c r="DC299" s="570">
        <f t="shared" si="24"/>
        <v>0</v>
      </c>
      <c r="DD299" s="570">
        <f t="shared" si="24"/>
        <v>0</v>
      </c>
      <c r="DE299" s="570">
        <f t="shared" si="24"/>
        <v>0</v>
      </c>
      <c r="DF299" s="570">
        <f t="shared" si="24"/>
        <v>0</v>
      </c>
      <c r="DG299" s="570">
        <f t="shared" si="24"/>
        <v>0</v>
      </c>
      <c r="DH299" s="570">
        <f t="shared" si="24"/>
        <v>0</v>
      </c>
      <c r="DJ299" s="570">
        <f>DJ92</f>
        <v>0</v>
      </c>
      <c r="DK299" s="570">
        <f t="shared" si="24"/>
        <v>0</v>
      </c>
      <c r="DL299" s="570">
        <f t="shared" si="24"/>
        <v>0</v>
      </c>
      <c r="DM299" s="570">
        <f t="shared" si="24"/>
        <v>0</v>
      </c>
      <c r="DN299" s="570">
        <f t="shared" si="24"/>
        <v>0</v>
      </c>
      <c r="DO299" s="570">
        <f t="shared" si="24"/>
        <v>0</v>
      </c>
      <c r="DP299" s="570">
        <f t="shared" si="24"/>
        <v>0</v>
      </c>
      <c r="DR299" s="570">
        <f>DR92</f>
        <v>0</v>
      </c>
      <c r="DS299" s="570">
        <f t="shared" si="24"/>
        <v>0</v>
      </c>
      <c r="DT299" s="570">
        <f t="shared" si="24"/>
        <v>0</v>
      </c>
      <c r="DU299" s="570">
        <f t="shared" si="24"/>
        <v>0</v>
      </c>
      <c r="DV299" s="570">
        <f t="shared" si="24"/>
        <v>0</v>
      </c>
      <c r="DW299" s="570">
        <f t="shared" si="24"/>
        <v>0</v>
      </c>
      <c r="DX299" s="570">
        <f t="shared" si="24"/>
        <v>0</v>
      </c>
      <c r="DZ299" s="570">
        <f>DZ92</f>
        <v>0</v>
      </c>
      <c r="EA299" s="570">
        <f t="shared" si="25"/>
        <v>0</v>
      </c>
      <c r="EB299" s="570">
        <f t="shared" si="25"/>
        <v>0</v>
      </c>
      <c r="EC299" s="570">
        <f t="shared" si="25"/>
        <v>0</v>
      </c>
      <c r="ED299" s="570">
        <f t="shared" si="25"/>
        <v>0</v>
      </c>
      <c r="EE299" s="570">
        <f t="shared" si="25"/>
        <v>0</v>
      </c>
      <c r="EF299" s="570">
        <f t="shared" si="25"/>
        <v>0</v>
      </c>
      <c r="EH299" s="570">
        <f>EH92</f>
        <v>0</v>
      </c>
      <c r="EI299" s="570">
        <f t="shared" si="25"/>
        <v>0</v>
      </c>
      <c r="EJ299" s="570">
        <f t="shared" si="25"/>
        <v>0</v>
      </c>
      <c r="EK299" s="570">
        <f t="shared" si="25"/>
        <v>0</v>
      </c>
      <c r="EL299" s="570">
        <f t="shared" si="25"/>
        <v>0</v>
      </c>
      <c r="EM299" s="570">
        <f t="shared" si="25"/>
        <v>0</v>
      </c>
      <c r="EN299" s="570">
        <f t="shared" si="25"/>
        <v>0</v>
      </c>
      <c r="EP299" s="570">
        <f>EP92</f>
        <v>0</v>
      </c>
      <c r="EQ299" s="570">
        <f t="shared" si="25"/>
        <v>0</v>
      </c>
      <c r="ER299" s="570">
        <f t="shared" si="25"/>
        <v>0</v>
      </c>
      <c r="ES299" s="570">
        <f t="shared" si="25"/>
        <v>0</v>
      </c>
      <c r="ET299" s="570">
        <f t="shared" si="25"/>
        <v>0</v>
      </c>
      <c r="EU299" s="570">
        <f t="shared" si="25"/>
        <v>0</v>
      </c>
      <c r="EV299" s="570">
        <f t="shared" si="25"/>
        <v>0</v>
      </c>
      <c r="EX299" s="570">
        <f>EX92</f>
        <v>0</v>
      </c>
      <c r="EY299" s="570">
        <f t="shared" si="25"/>
        <v>0</v>
      </c>
      <c r="EZ299" s="570">
        <f t="shared" si="25"/>
        <v>0</v>
      </c>
      <c r="FA299" s="570">
        <f t="shared" si="25"/>
        <v>0</v>
      </c>
      <c r="FB299" s="570">
        <f t="shared" si="25"/>
        <v>0</v>
      </c>
      <c r="FC299" s="570">
        <f t="shared" si="25"/>
        <v>0</v>
      </c>
      <c r="FD299" s="570">
        <f t="shared" si="25"/>
        <v>0</v>
      </c>
      <c r="FF299" s="570">
        <f>FF92</f>
        <v>0</v>
      </c>
      <c r="FG299" s="570">
        <f t="shared" si="25"/>
        <v>0</v>
      </c>
      <c r="FH299" s="570">
        <f t="shared" si="25"/>
        <v>0</v>
      </c>
      <c r="FI299" s="570">
        <f t="shared" si="25"/>
        <v>0</v>
      </c>
      <c r="FJ299" s="570">
        <f t="shared" si="25"/>
        <v>0</v>
      </c>
      <c r="FK299" s="570">
        <f t="shared" si="25"/>
        <v>0</v>
      </c>
      <c r="FL299" s="570">
        <f t="shared" si="25"/>
        <v>0</v>
      </c>
      <c r="FN299" s="570">
        <f>FN92</f>
        <v>0</v>
      </c>
      <c r="FO299" s="570">
        <f t="shared" si="25"/>
        <v>0</v>
      </c>
      <c r="FP299" s="570">
        <f t="shared" si="25"/>
        <v>0</v>
      </c>
      <c r="FQ299" s="570">
        <f t="shared" si="25"/>
        <v>0</v>
      </c>
      <c r="FR299" s="570">
        <f t="shared" si="25"/>
        <v>0</v>
      </c>
      <c r="FS299" s="570">
        <f t="shared" si="25"/>
        <v>0</v>
      </c>
      <c r="FT299" s="570">
        <f t="shared" si="25"/>
        <v>0</v>
      </c>
      <c r="FV299" s="570">
        <f>FV92</f>
        <v>0</v>
      </c>
      <c r="FW299" s="570">
        <f t="shared" si="25"/>
        <v>0</v>
      </c>
      <c r="FX299" s="570">
        <f t="shared" si="25"/>
        <v>0</v>
      </c>
      <c r="FY299" s="570">
        <f t="shared" si="25"/>
        <v>0</v>
      </c>
      <c r="FZ299" s="570">
        <f t="shared" si="25"/>
        <v>0</v>
      </c>
      <c r="GA299" s="570">
        <f t="shared" si="25"/>
        <v>0</v>
      </c>
      <c r="GB299" s="570">
        <f t="shared" si="25"/>
        <v>0</v>
      </c>
      <c r="GD299" s="570">
        <f>GD92</f>
        <v>0</v>
      </c>
      <c r="GE299" s="570">
        <f t="shared" si="25"/>
        <v>0</v>
      </c>
      <c r="GF299" s="570">
        <f t="shared" si="25"/>
        <v>0</v>
      </c>
      <c r="GG299" s="570">
        <f t="shared" si="25"/>
        <v>0</v>
      </c>
      <c r="GH299" s="570">
        <f t="shared" si="25"/>
        <v>0</v>
      </c>
      <c r="GI299" s="570">
        <f t="shared" si="25"/>
        <v>0</v>
      </c>
      <c r="GJ299" s="570">
        <f t="shared" si="25"/>
        <v>0</v>
      </c>
      <c r="GL299" s="570">
        <f>GL92</f>
        <v>0</v>
      </c>
      <c r="GM299" s="570">
        <f t="shared" si="26"/>
        <v>0</v>
      </c>
      <c r="GN299" s="570">
        <f t="shared" si="26"/>
        <v>0</v>
      </c>
      <c r="GO299" s="570">
        <f t="shared" si="26"/>
        <v>0</v>
      </c>
      <c r="GP299" s="570">
        <f t="shared" si="26"/>
        <v>0</v>
      </c>
      <c r="GQ299" s="570">
        <f t="shared" si="26"/>
        <v>0</v>
      </c>
      <c r="GR299" s="570">
        <f t="shared" si="26"/>
        <v>0</v>
      </c>
      <c r="GT299" s="570">
        <f>GT92</f>
        <v>0</v>
      </c>
      <c r="GU299" s="570">
        <f t="shared" si="26"/>
        <v>0</v>
      </c>
      <c r="GV299" s="570">
        <f t="shared" si="26"/>
        <v>0</v>
      </c>
      <c r="GW299" s="570">
        <f t="shared" si="26"/>
        <v>0</v>
      </c>
      <c r="GX299" s="570">
        <f t="shared" si="26"/>
        <v>0</v>
      </c>
      <c r="GY299" s="570">
        <f t="shared" si="26"/>
        <v>0</v>
      </c>
      <c r="GZ299" s="570">
        <f t="shared" si="26"/>
        <v>0</v>
      </c>
      <c r="HB299" s="570">
        <f>HB92</f>
        <v>0</v>
      </c>
      <c r="HC299" s="570">
        <f t="shared" si="26"/>
        <v>0</v>
      </c>
      <c r="HD299" s="570">
        <f t="shared" si="26"/>
        <v>0</v>
      </c>
      <c r="HE299" s="570">
        <f t="shared" si="26"/>
        <v>0</v>
      </c>
      <c r="HF299" s="570">
        <f t="shared" si="26"/>
        <v>0</v>
      </c>
      <c r="HG299" s="570">
        <f t="shared" si="26"/>
        <v>0</v>
      </c>
      <c r="HH299" s="570">
        <f t="shared" si="26"/>
        <v>0</v>
      </c>
      <c r="HJ299" s="570">
        <f>HJ92</f>
        <v>0</v>
      </c>
      <c r="HK299" s="570">
        <f t="shared" si="26"/>
        <v>0</v>
      </c>
      <c r="HL299" s="570">
        <f t="shared" si="26"/>
        <v>0</v>
      </c>
      <c r="HM299" s="570">
        <f t="shared" si="26"/>
        <v>0</v>
      </c>
      <c r="HN299" s="570">
        <f t="shared" si="26"/>
        <v>0</v>
      </c>
      <c r="HO299" s="570">
        <f t="shared" si="26"/>
        <v>0</v>
      </c>
      <c r="HP299" s="570">
        <f t="shared" si="26"/>
        <v>0</v>
      </c>
      <c r="HR299" s="570">
        <f>HR92</f>
        <v>0</v>
      </c>
      <c r="HS299" s="570">
        <f t="shared" si="26"/>
        <v>0</v>
      </c>
      <c r="HT299" s="570">
        <f t="shared" si="26"/>
        <v>0</v>
      </c>
      <c r="HU299" s="570">
        <f t="shared" si="26"/>
        <v>0</v>
      </c>
      <c r="HV299" s="570">
        <f t="shared" si="26"/>
        <v>0</v>
      </c>
      <c r="HW299" s="570">
        <f t="shared" si="26"/>
        <v>0</v>
      </c>
      <c r="HX299" s="570">
        <f t="shared" si="26"/>
        <v>0</v>
      </c>
      <c r="HZ299" s="570">
        <f>HZ92</f>
        <v>0</v>
      </c>
      <c r="IA299" s="570">
        <f t="shared" si="26"/>
        <v>0</v>
      </c>
      <c r="IB299" s="570">
        <f t="shared" si="26"/>
        <v>0</v>
      </c>
      <c r="IC299" s="570">
        <f t="shared" si="26"/>
        <v>0</v>
      </c>
      <c r="ID299" s="570">
        <f t="shared" si="26"/>
        <v>0</v>
      </c>
      <c r="IE299" s="570">
        <f t="shared" si="26"/>
        <v>0</v>
      </c>
      <c r="IF299" s="570">
        <f t="shared" si="26"/>
        <v>0</v>
      </c>
      <c r="IH299" s="570">
        <f>IH92</f>
        <v>0</v>
      </c>
      <c r="II299" s="570">
        <f t="shared" si="26"/>
        <v>0</v>
      </c>
      <c r="IJ299" s="570">
        <f t="shared" si="26"/>
        <v>0</v>
      </c>
      <c r="IK299" s="570">
        <f t="shared" si="26"/>
        <v>0</v>
      </c>
      <c r="IL299" s="570">
        <f t="shared" si="26"/>
        <v>0</v>
      </c>
      <c r="IM299" s="570">
        <f t="shared" si="26"/>
        <v>0</v>
      </c>
      <c r="IN299" s="570">
        <f t="shared" si="26"/>
        <v>0</v>
      </c>
      <c r="IP299" s="570">
        <f>IP92</f>
        <v>0</v>
      </c>
      <c r="IQ299" s="570">
        <f t="shared" si="26"/>
        <v>0</v>
      </c>
      <c r="IR299" s="570">
        <f t="shared" si="26"/>
        <v>0</v>
      </c>
      <c r="IS299" s="570">
        <f t="shared" si="26"/>
        <v>0</v>
      </c>
      <c r="IT299" s="570">
        <f t="shared" si="26"/>
        <v>0</v>
      </c>
      <c r="IU299" s="570">
        <f t="shared" si="26"/>
        <v>0</v>
      </c>
      <c r="IV299" s="570">
        <f t="shared" si="26"/>
        <v>0</v>
      </c>
    </row>
    <row r="300" spans="2:256">
      <c r="B300" s="615" t="str">
        <f>IF(AND($B93&lt;&gt;"(***)",OR($F93&lt;&gt;0,$H93&lt;&gt;0)),$B93,"")</f>
        <v/>
      </c>
      <c r="C300" s="615">
        <f t="shared" si="23"/>
        <v>0</v>
      </c>
      <c r="D300" s="570">
        <f t="shared" si="23"/>
        <v>0</v>
      </c>
      <c r="E300" s="570">
        <f t="shared" si="23"/>
        <v>0</v>
      </c>
      <c r="F300" s="616">
        <f t="shared" si="23"/>
        <v>0</v>
      </c>
      <c r="G300" s="570">
        <f t="shared" si="23"/>
        <v>0</v>
      </c>
      <c r="H300" s="616">
        <f t="shared" si="23"/>
        <v>0</v>
      </c>
      <c r="J300" s="570" t="str">
        <f>IF(AND($B93&lt;&gt;"(***)",OR($F93&lt;&gt;0,$H93&lt;&gt;0)),$B93,"")</f>
        <v/>
      </c>
      <c r="K300" s="570">
        <f t="shared" si="23"/>
        <v>0</v>
      </c>
      <c r="L300" s="570">
        <f t="shared" si="23"/>
        <v>0</v>
      </c>
      <c r="M300" s="570">
        <f t="shared" si="23"/>
        <v>0</v>
      </c>
      <c r="N300" s="570">
        <f t="shared" si="23"/>
        <v>0</v>
      </c>
      <c r="O300" s="570">
        <f t="shared" si="23"/>
        <v>0</v>
      </c>
      <c r="P300" s="570">
        <f t="shared" si="23"/>
        <v>0</v>
      </c>
      <c r="R300" s="570" t="str">
        <f>IF(AND($B93&lt;&gt;"(***)",OR($F93&lt;&gt;0,$H93&lt;&gt;0)),$B93,"")</f>
        <v/>
      </c>
      <c r="S300" s="570">
        <f t="shared" si="23"/>
        <v>0</v>
      </c>
      <c r="T300" s="570">
        <f t="shared" si="23"/>
        <v>0</v>
      </c>
      <c r="U300" s="570">
        <f t="shared" si="23"/>
        <v>0</v>
      </c>
      <c r="V300" s="570">
        <f t="shared" si="23"/>
        <v>0</v>
      </c>
      <c r="W300" s="570">
        <f t="shared" si="23"/>
        <v>0</v>
      </c>
      <c r="X300" s="570">
        <f t="shared" si="23"/>
        <v>0</v>
      </c>
      <c r="Z300" s="570" t="str">
        <f>IF(AND($B93&lt;&gt;"(***)",OR($F93&lt;&gt;0,$H93&lt;&gt;0)),$B93,"")</f>
        <v/>
      </c>
      <c r="AA300" s="570">
        <f t="shared" si="23"/>
        <v>0</v>
      </c>
      <c r="AB300" s="570">
        <f t="shared" si="23"/>
        <v>0</v>
      </c>
      <c r="AC300" s="570">
        <f t="shared" si="23"/>
        <v>0</v>
      </c>
      <c r="AD300" s="570">
        <f t="shared" si="23"/>
        <v>0</v>
      </c>
      <c r="AE300" s="570">
        <f t="shared" si="23"/>
        <v>0</v>
      </c>
      <c r="AF300" s="570">
        <f t="shared" si="23"/>
        <v>0</v>
      </c>
      <c r="AH300" s="570" t="str">
        <f>IF(AND($B93&lt;&gt;"(***)",OR($F93&lt;&gt;0,$H93&lt;&gt;0)),$B93,"")</f>
        <v/>
      </c>
      <c r="AI300" s="570">
        <f t="shared" si="23"/>
        <v>0</v>
      </c>
      <c r="AJ300" s="570">
        <f t="shared" si="23"/>
        <v>0</v>
      </c>
      <c r="AK300" s="570">
        <f t="shared" si="23"/>
        <v>0</v>
      </c>
      <c r="AL300" s="570">
        <f t="shared" si="23"/>
        <v>0</v>
      </c>
      <c r="AM300" s="570">
        <f t="shared" si="23"/>
        <v>0</v>
      </c>
      <c r="AN300" s="570">
        <f t="shared" si="23"/>
        <v>0</v>
      </c>
      <c r="AP300" s="570" t="str">
        <f>IF(AND($B93&lt;&gt;"(***)",OR($F93&lt;&gt;0,$H93&lt;&gt;0)),$B93,"")</f>
        <v/>
      </c>
      <c r="AQ300" s="570">
        <f t="shared" si="23"/>
        <v>0</v>
      </c>
      <c r="AR300" s="570">
        <f t="shared" si="23"/>
        <v>0</v>
      </c>
      <c r="AS300" s="570">
        <f t="shared" si="23"/>
        <v>0</v>
      </c>
      <c r="AT300" s="570">
        <f t="shared" si="23"/>
        <v>0</v>
      </c>
      <c r="AU300" s="570">
        <f t="shared" si="23"/>
        <v>0</v>
      </c>
      <c r="AV300" s="570">
        <f t="shared" si="23"/>
        <v>0</v>
      </c>
      <c r="AX300" s="570" t="str">
        <f>IF(AND($B93&lt;&gt;"(***)",OR($F93&lt;&gt;0,$H93&lt;&gt;0)),$B93,"")</f>
        <v/>
      </c>
      <c r="AY300" s="570">
        <f t="shared" si="23"/>
        <v>0</v>
      </c>
      <c r="AZ300" s="570">
        <f t="shared" si="23"/>
        <v>0</v>
      </c>
      <c r="BA300" s="570">
        <f t="shared" si="23"/>
        <v>0</v>
      </c>
      <c r="BB300" s="570">
        <f t="shared" si="23"/>
        <v>0</v>
      </c>
      <c r="BC300" s="570">
        <f t="shared" si="23"/>
        <v>0</v>
      </c>
      <c r="BD300" s="570">
        <f t="shared" si="23"/>
        <v>0</v>
      </c>
      <c r="BF300" s="570" t="str">
        <f>IF(AND($B93&lt;&gt;"(***)",OR($F93&lt;&gt;0,$H93&lt;&gt;0)),$B93,"")</f>
        <v/>
      </c>
      <c r="BG300" s="570">
        <f t="shared" si="23"/>
        <v>0</v>
      </c>
      <c r="BH300" s="570">
        <f t="shared" si="23"/>
        <v>0</v>
      </c>
      <c r="BI300" s="570">
        <f t="shared" si="23"/>
        <v>0</v>
      </c>
      <c r="BJ300" s="570">
        <f t="shared" si="23"/>
        <v>0</v>
      </c>
      <c r="BK300" s="570">
        <f t="shared" si="23"/>
        <v>0</v>
      </c>
      <c r="BL300" s="570">
        <f t="shared" si="23"/>
        <v>0</v>
      </c>
      <c r="BN300" s="570" t="str">
        <f>IF(AND($B93&lt;&gt;"(***)",OR($F93&lt;&gt;0,$H93&lt;&gt;0)),$B93,"")</f>
        <v/>
      </c>
      <c r="BO300" s="570">
        <f t="shared" si="24"/>
        <v>0</v>
      </c>
      <c r="BP300" s="570">
        <f t="shared" si="24"/>
        <v>0</v>
      </c>
      <c r="BQ300" s="570">
        <f t="shared" si="24"/>
        <v>0</v>
      </c>
      <c r="BR300" s="570">
        <f t="shared" si="24"/>
        <v>0</v>
      </c>
      <c r="BS300" s="570">
        <f t="shared" si="24"/>
        <v>0</v>
      </c>
      <c r="BT300" s="570">
        <f t="shared" si="24"/>
        <v>0</v>
      </c>
      <c r="BV300" s="570" t="str">
        <f>IF(AND($B93&lt;&gt;"(***)",OR($F93&lt;&gt;0,$H93&lt;&gt;0)),$B93,"")</f>
        <v/>
      </c>
      <c r="BW300" s="570">
        <f t="shared" si="24"/>
        <v>0</v>
      </c>
      <c r="BX300" s="570">
        <f t="shared" si="24"/>
        <v>0</v>
      </c>
      <c r="BY300" s="570">
        <f t="shared" si="24"/>
        <v>0</v>
      </c>
      <c r="BZ300" s="570">
        <f t="shared" si="24"/>
        <v>0</v>
      </c>
      <c r="CA300" s="570">
        <f t="shared" si="24"/>
        <v>0</v>
      </c>
      <c r="CB300" s="570">
        <f t="shared" si="24"/>
        <v>0</v>
      </c>
      <c r="CD300" s="570" t="str">
        <f>IF(AND($B93&lt;&gt;"(***)",OR($F93&lt;&gt;0,$H93&lt;&gt;0)),$B93,"")</f>
        <v/>
      </c>
      <c r="CE300" s="570">
        <f t="shared" si="24"/>
        <v>0</v>
      </c>
      <c r="CF300" s="570">
        <f t="shared" si="24"/>
        <v>0</v>
      </c>
      <c r="CG300" s="570">
        <f t="shared" si="24"/>
        <v>0</v>
      </c>
      <c r="CH300" s="570">
        <f t="shared" si="24"/>
        <v>0</v>
      </c>
      <c r="CI300" s="570">
        <f t="shared" si="24"/>
        <v>0</v>
      </c>
      <c r="CJ300" s="570">
        <f t="shared" si="24"/>
        <v>0</v>
      </c>
      <c r="CL300" s="570" t="str">
        <f>IF(AND($B93&lt;&gt;"(***)",OR($F93&lt;&gt;0,$H93&lt;&gt;0)),$B93,"")</f>
        <v/>
      </c>
      <c r="CM300" s="570">
        <f t="shared" si="24"/>
        <v>0</v>
      </c>
      <c r="CN300" s="570">
        <f t="shared" si="24"/>
        <v>0</v>
      </c>
      <c r="CO300" s="570">
        <f t="shared" si="24"/>
        <v>0</v>
      </c>
      <c r="CP300" s="570">
        <f t="shared" si="24"/>
        <v>0</v>
      </c>
      <c r="CQ300" s="570">
        <f t="shared" si="24"/>
        <v>0</v>
      </c>
      <c r="CR300" s="570">
        <f t="shared" si="24"/>
        <v>0</v>
      </c>
      <c r="CT300" s="570" t="str">
        <f>IF(AND($B93&lt;&gt;"(***)",OR($F93&lt;&gt;0,$H93&lt;&gt;0)),$B93,"")</f>
        <v/>
      </c>
      <c r="CU300" s="570">
        <f t="shared" si="24"/>
        <v>0</v>
      </c>
      <c r="CV300" s="570">
        <f t="shared" si="24"/>
        <v>0</v>
      </c>
      <c r="CW300" s="570">
        <f t="shared" si="24"/>
        <v>0</v>
      </c>
      <c r="CX300" s="570">
        <f t="shared" si="24"/>
        <v>0</v>
      </c>
      <c r="CY300" s="570">
        <f t="shared" si="24"/>
        <v>0</v>
      </c>
      <c r="CZ300" s="570">
        <f t="shared" si="24"/>
        <v>0</v>
      </c>
      <c r="DB300" s="570" t="str">
        <f>IF(AND($B93&lt;&gt;"(***)",OR($F93&lt;&gt;0,$H93&lt;&gt;0)),$B93,"")</f>
        <v/>
      </c>
      <c r="DC300" s="570">
        <f t="shared" si="24"/>
        <v>0</v>
      </c>
      <c r="DD300" s="570">
        <f t="shared" si="24"/>
        <v>0</v>
      </c>
      <c r="DE300" s="570">
        <f t="shared" si="24"/>
        <v>0</v>
      </c>
      <c r="DF300" s="570">
        <f t="shared" si="24"/>
        <v>0</v>
      </c>
      <c r="DG300" s="570">
        <f t="shared" si="24"/>
        <v>0</v>
      </c>
      <c r="DH300" s="570">
        <f t="shared" si="24"/>
        <v>0</v>
      </c>
      <c r="DJ300" s="570" t="str">
        <f>IF(AND($B93&lt;&gt;"(***)",OR($F93&lt;&gt;0,$H93&lt;&gt;0)),$B93,"")</f>
        <v/>
      </c>
      <c r="DK300" s="570">
        <f t="shared" si="24"/>
        <v>0</v>
      </c>
      <c r="DL300" s="570">
        <f t="shared" si="24"/>
        <v>0</v>
      </c>
      <c r="DM300" s="570">
        <f t="shared" si="24"/>
        <v>0</v>
      </c>
      <c r="DN300" s="570">
        <f t="shared" si="24"/>
        <v>0</v>
      </c>
      <c r="DO300" s="570">
        <f t="shared" si="24"/>
        <v>0</v>
      </c>
      <c r="DP300" s="570">
        <f t="shared" si="24"/>
        <v>0</v>
      </c>
      <c r="DR300" s="570" t="str">
        <f>IF(AND($B93&lt;&gt;"(***)",OR($F93&lt;&gt;0,$H93&lt;&gt;0)),$B93,"")</f>
        <v/>
      </c>
      <c r="DS300" s="570">
        <f t="shared" si="24"/>
        <v>0</v>
      </c>
      <c r="DT300" s="570">
        <f t="shared" si="24"/>
        <v>0</v>
      </c>
      <c r="DU300" s="570">
        <f t="shared" si="24"/>
        <v>0</v>
      </c>
      <c r="DV300" s="570">
        <f t="shared" si="24"/>
        <v>0</v>
      </c>
      <c r="DW300" s="570">
        <f t="shared" si="24"/>
        <v>0</v>
      </c>
      <c r="DX300" s="570">
        <f t="shared" si="24"/>
        <v>0</v>
      </c>
      <c r="DZ300" s="570" t="str">
        <f>IF(AND($B93&lt;&gt;"(***)",OR($F93&lt;&gt;0,$H93&lt;&gt;0)),$B93,"")</f>
        <v/>
      </c>
      <c r="EA300" s="570">
        <f t="shared" si="25"/>
        <v>0</v>
      </c>
      <c r="EB300" s="570">
        <f t="shared" si="25"/>
        <v>0</v>
      </c>
      <c r="EC300" s="570">
        <f t="shared" si="25"/>
        <v>0</v>
      </c>
      <c r="ED300" s="570">
        <f t="shared" si="25"/>
        <v>0</v>
      </c>
      <c r="EE300" s="570">
        <f t="shared" si="25"/>
        <v>0</v>
      </c>
      <c r="EF300" s="570">
        <f t="shared" si="25"/>
        <v>0</v>
      </c>
      <c r="EH300" s="570" t="str">
        <f>IF(AND($B93&lt;&gt;"(***)",OR($F93&lt;&gt;0,$H93&lt;&gt;0)),$B93,"")</f>
        <v/>
      </c>
      <c r="EI300" s="570">
        <f t="shared" si="25"/>
        <v>0</v>
      </c>
      <c r="EJ300" s="570">
        <f t="shared" si="25"/>
        <v>0</v>
      </c>
      <c r="EK300" s="570">
        <f t="shared" si="25"/>
        <v>0</v>
      </c>
      <c r="EL300" s="570">
        <f t="shared" si="25"/>
        <v>0</v>
      </c>
      <c r="EM300" s="570">
        <f t="shared" si="25"/>
        <v>0</v>
      </c>
      <c r="EN300" s="570">
        <f t="shared" si="25"/>
        <v>0</v>
      </c>
      <c r="EP300" s="570" t="str">
        <f>IF(AND($B93&lt;&gt;"(***)",OR($F93&lt;&gt;0,$H93&lt;&gt;0)),$B93,"")</f>
        <v/>
      </c>
      <c r="EQ300" s="570">
        <f t="shared" si="25"/>
        <v>0</v>
      </c>
      <c r="ER300" s="570">
        <f t="shared" si="25"/>
        <v>0</v>
      </c>
      <c r="ES300" s="570">
        <f t="shared" si="25"/>
        <v>0</v>
      </c>
      <c r="ET300" s="570">
        <f t="shared" si="25"/>
        <v>0</v>
      </c>
      <c r="EU300" s="570">
        <f t="shared" si="25"/>
        <v>0</v>
      </c>
      <c r="EV300" s="570">
        <f t="shared" si="25"/>
        <v>0</v>
      </c>
      <c r="EX300" s="570" t="str">
        <f>IF(AND($B93&lt;&gt;"(***)",OR($F93&lt;&gt;0,$H93&lt;&gt;0)),$B93,"")</f>
        <v/>
      </c>
      <c r="EY300" s="570">
        <f t="shared" si="25"/>
        <v>0</v>
      </c>
      <c r="EZ300" s="570">
        <f t="shared" si="25"/>
        <v>0</v>
      </c>
      <c r="FA300" s="570">
        <f t="shared" si="25"/>
        <v>0</v>
      </c>
      <c r="FB300" s="570">
        <f t="shared" si="25"/>
        <v>0</v>
      </c>
      <c r="FC300" s="570">
        <f t="shared" si="25"/>
        <v>0</v>
      </c>
      <c r="FD300" s="570">
        <f t="shared" si="25"/>
        <v>0</v>
      </c>
      <c r="FF300" s="570" t="str">
        <f>IF(AND($B93&lt;&gt;"(***)",OR($F93&lt;&gt;0,$H93&lt;&gt;0)),$B93,"")</f>
        <v/>
      </c>
      <c r="FG300" s="570">
        <f t="shared" si="25"/>
        <v>0</v>
      </c>
      <c r="FH300" s="570">
        <f t="shared" si="25"/>
        <v>0</v>
      </c>
      <c r="FI300" s="570">
        <f t="shared" si="25"/>
        <v>0</v>
      </c>
      <c r="FJ300" s="570">
        <f t="shared" si="25"/>
        <v>0</v>
      </c>
      <c r="FK300" s="570">
        <f t="shared" si="25"/>
        <v>0</v>
      </c>
      <c r="FL300" s="570">
        <f t="shared" si="25"/>
        <v>0</v>
      </c>
      <c r="FN300" s="570" t="str">
        <f>IF(AND($B93&lt;&gt;"(***)",OR($F93&lt;&gt;0,$H93&lt;&gt;0)),$B93,"")</f>
        <v/>
      </c>
      <c r="FO300" s="570">
        <f t="shared" si="25"/>
        <v>0</v>
      </c>
      <c r="FP300" s="570">
        <f t="shared" si="25"/>
        <v>0</v>
      </c>
      <c r="FQ300" s="570">
        <f t="shared" si="25"/>
        <v>0</v>
      </c>
      <c r="FR300" s="570">
        <f t="shared" si="25"/>
        <v>0</v>
      </c>
      <c r="FS300" s="570">
        <f t="shared" si="25"/>
        <v>0</v>
      </c>
      <c r="FT300" s="570">
        <f t="shared" si="25"/>
        <v>0</v>
      </c>
      <c r="FV300" s="570" t="str">
        <f>IF(AND($B93&lt;&gt;"(***)",OR($F93&lt;&gt;0,$H93&lt;&gt;0)),$B93,"")</f>
        <v/>
      </c>
      <c r="FW300" s="570">
        <f t="shared" si="25"/>
        <v>0</v>
      </c>
      <c r="FX300" s="570">
        <f t="shared" si="25"/>
        <v>0</v>
      </c>
      <c r="FY300" s="570">
        <f t="shared" si="25"/>
        <v>0</v>
      </c>
      <c r="FZ300" s="570">
        <f t="shared" si="25"/>
        <v>0</v>
      </c>
      <c r="GA300" s="570">
        <f t="shared" si="25"/>
        <v>0</v>
      </c>
      <c r="GB300" s="570">
        <f t="shared" si="25"/>
        <v>0</v>
      </c>
      <c r="GD300" s="570" t="str">
        <f>IF(AND($B93&lt;&gt;"(***)",OR($F93&lt;&gt;0,$H93&lt;&gt;0)),$B93,"")</f>
        <v/>
      </c>
      <c r="GE300" s="570">
        <f t="shared" si="25"/>
        <v>0</v>
      </c>
      <c r="GF300" s="570">
        <f t="shared" si="25"/>
        <v>0</v>
      </c>
      <c r="GG300" s="570">
        <f t="shared" si="25"/>
        <v>0</v>
      </c>
      <c r="GH300" s="570">
        <f t="shared" si="25"/>
        <v>0</v>
      </c>
      <c r="GI300" s="570">
        <f t="shared" si="25"/>
        <v>0</v>
      </c>
      <c r="GJ300" s="570">
        <f t="shared" si="25"/>
        <v>0</v>
      </c>
      <c r="GL300" s="570" t="str">
        <f>IF(AND($B93&lt;&gt;"(***)",OR($F93&lt;&gt;0,$H93&lt;&gt;0)),$B93,"")</f>
        <v/>
      </c>
      <c r="GM300" s="570">
        <f t="shared" si="26"/>
        <v>0</v>
      </c>
      <c r="GN300" s="570">
        <f t="shared" si="26"/>
        <v>0</v>
      </c>
      <c r="GO300" s="570">
        <f t="shared" si="26"/>
        <v>0</v>
      </c>
      <c r="GP300" s="570">
        <f t="shared" si="26"/>
        <v>0</v>
      </c>
      <c r="GQ300" s="570">
        <f t="shared" si="26"/>
        <v>0</v>
      </c>
      <c r="GR300" s="570">
        <f t="shared" si="26"/>
        <v>0</v>
      </c>
      <c r="GT300" s="570" t="str">
        <f>IF(AND($B93&lt;&gt;"(***)",OR($F93&lt;&gt;0,$H93&lt;&gt;0)),$B93,"")</f>
        <v/>
      </c>
      <c r="GU300" s="570">
        <f t="shared" si="26"/>
        <v>0</v>
      </c>
      <c r="GV300" s="570">
        <f t="shared" si="26"/>
        <v>0</v>
      </c>
      <c r="GW300" s="570">
        <f t="shared" si="26"/>
        <v>0</v>
      </c>
      <c r="GX300" s="570">
        <f t="shared" si="26"/>
        <v>0</v>
      </c>
      <c r="GY300" s="570">
        <f t="shared" si="26"/>
        <v>0</v>
      </c>
      <c r="GZ300" s="570">
        <f t="shared" si="26"/>
        <v>0</v>
      </c>
      <c r="HB300" s="570" t="str">
        <f>IF(AND($B93&lt;&gt;"(***)",OR($F93&lt;&gt;0,$H93&lt;&gt;0)),$B93,"")</f>
        <v/>
      </c>
      <c r="HC300" s="570">
        <f t="shared" si="26"/>
        <v>0</v>
      </c>
      <c r="HD300" s="570">
        <f t="shared" si="26"/>
        <v>0</v>
      </c>
      <c r="HE300" s="570">
        <f t="shared" si="26"/>
        <v>0</v>
      </c>
      <c r="HF300" s="570">
        <f t="shared" si="26"/>
        <v>0</v>
      </c>
      <c r="HG300" s="570">
        <f t="shared" si="26"/>
        <v>0</v>
      </c>
      <c r="HH300" s="570">
        <f t="shared" si="26"/>
        <v>0</v>
      </c>
      <c r="HJ300" s="570" t="str">
        <f>IF(AND($B93&lt;&gt;"(***)",OR($F93&lt;&gt;0,$H93&lt;&gt;0)),$B93,"")</f>
        <v/>
      </c>
      <c r="HK300" s="570">
        <f t="shared" si="26"/>
        <v>0</v>
      </c>
      <c r="HL300" s="570">
        <f t="shared" si="26"/>
        <v>0</v>
      </c>
      <c r="HM300" s="570">
        <f t="shared" si="26"/>
        <v>0</v>
      </c>
      <c r="HN300" s="570">
        <f t="shared" si="26"/>
        <v>0</v>
      </c>
      <c r="HO300" s="570">
        <f t="shared" si="26"/>
        <v>0</v>
      </c>
      <c r="HP300" s="570">
        <f t="shared" si="26"/>
        <v>0</v>
      </c>
      <c r="HR300" s="570" t="str">
        <f>IF(AND($B93&lt;&gt;"(***)",OR($F93&lt;&gt;0,$H93&lt;&gt;0)),$B93,"")</f>
        <v/>
      </c>
      <c r="HS300" s="570">
        <f t="shared" si="26"/>
        <v>0</v>
      </c>
      <c r="HT300" s="570">
        <f t="shared" si="26"/>
        <v>0</v>
      </c>
      <c r="HU300" s="570">
        <f t="shared" si="26"/>
        <v>0</v>
      </c>
      <c r="HV300" s="570">
        <f t="shared" si="26"/>
        <v>0</v>
      </c>
      <c r="HW300" s="570">
        <f t="shared" si="26"/>
        <v>0</v>
      </c>
      <c r="HX300" s="570">
        <f t="shared" si="26"/>
        <v>0</v>
      </c>
      <c r="HZ300" s="570" t="str">
        <f>IF(AND($B93&lt;&gt;"(***)",OR($F93&lt;&gt;0,$H93&lt;&gt;0)),$B93,"")</f>
        <v/>
      </c>
      <c r="IA300" s="570">
        <f t="shared" si="26"/>
        <v>0</v>
      </c>
      <c r="IB300" s="570">
        <f t="shared" si="26"/>
        <v>0</v>
      </c>
      <c r="IC300" s="570">
        <f t="shared" si="26"/>
        <v>0</v>
      </c>
      <c r="ID300" s="570">
        <f t="shared" si="26"/>
        <v>0</v>
      </c>
      <c r="IE300" s="570">
        <f t="shared" si="26"/>
        <v>0</v>
      </c>
      <c r="IF300" s="570">
        <f t="shared" si="26"/>
        <v>0</v>
      </c>
      <c r="IH300" s="570" t="str">
        <f>IF(AND($B93&lt;&gt;"(***)",OR($F93&lt;&gt;0,$H93&lt;&gt;0)),$B93,"")</f>
        <v/>
      </c>
      <c r="II300" s="570">
        <f t="shared" si="26"/>
        <v>0</v>
      </c>
      <c r="IJ300" s="570">
        <f t="shared" si="26"/>
        <v>0</v>
      </c>
      <c r="IK300" s="570">
        <f t="shared" si="26"/>
        <v>0</v>
      </c>
      <c r="IL300" s="570">
        <f t="shared" si="26"/>
        <v>0</v>
      </c>
      <c r="IM300" s="570">
        <f t="shared" si="26"/>
        <v>0</v>
      </c>
      <c r="IN300" s="570">
        <f t="shared" si="26"/>
        <v>0</v>
      </c>
      <c r="IP300" s="570" t="str">
        <f>IF(AND($B93&lt;&gt;"(***)",OR($F93&lt;&gt;0,$H93&lt;&gt;0)),$B93,"")</f>
        <v/>
      </c>
      <c r="IQ300" s="570">
        <f t="shared" si="26"/>
        <v>0</v>
      </c>
      <c r="IR300" s="570">
        <f t="shared" si="26"/>
        <v>0</v>
      </c>
      <c r="IS300" s="570">
        <f t="shared" si="26"/>
        <v>0</v>
      </c>
      <c r="IT300" s="570">
        <f t="shared" si="26"/>
        <v>0</v>
      </c>
      <c r="IU300" s="570">
        <f t="shared" si="26"/>
        <v>0</v>
      </c>
      <c r="IV300" s="570">
        <f t="shared" si="26"/>
        <v>0</v>
      </c>
    </row>
    <row r="301" spans="2:256">
      <c r="B301" s="615" t="str">
        <f>IF(AND($B94&lt;&gt;"(***)",OR($F94&lt;&gt;0,$H94&lt;&gt;0)),$B94,"")</f>
        <v/>
      </c>
      <c r="C301" s="615">
        <f t="shared" si="23"/>
        <v>0</v>
      </c>
      <c r="D301" s="570">
        <f t="shared" si="23"/>
        <v>0</v>
      </c>
      <c r="E301" s="570">
        <f t="shared" si="23"/>
        <v>0</v>
      </c>
      <c r="F301" s="616">
        <f t="shared" si="23"/>
        <v>0</v>
      </c>
      <c r="G301" s="570">
        <f t="shared" si="23"/>
        <v>0</v>
      </c>
      <c r="H301" s="616">
        <f t="shared" si="23"/>
        <v>0</v>
      </c>
      <c r="J301" s="570" t="str">
        <f>IF(AND($B94&lt;&gt;"(***)",OR($F94&lt;&gt;0,$H94&lt;&gt;0)),$B94,"")</f>
        <v/>
      </c>
      <c r="K301" s="570">
        <f t="shared" si="23"/>
        <v>0</v>
      </c>
      <c r="L301" s="570">
        <f t="shared" si="23"/>
        <v>0</v>
      </c>
      <c r="M301" s="570">
        <f t="shared" si="23"/>
        <v>0</v>
      </c>
      <c r="N301" s="570">
        <f t="shared" si="23"/>
        <v>0</v>
      </c>
      <c r="O301" s="570">
        <f t="shared" si="23"/>
        <v>0</v>
      </c>
      <c r="P301" s="570">
        <f t="shared" si="23"/>
        <v>0</v>
      </c>
      <c r="R301" s="570" t="str">
        <f>IF(AND($B94&lt;&gt;"(***)",OR($F94&lt;&gt;0,$H94&lt;&gt;0)),$B94,"")</f>
        <v/>
      </c>
      <c r="S301" s="570">
        <f t="shared" si="23"/>
        <v>0</v>
      </c>
      <c r="T301" s="570">
        <f t="shared" si="23"/>
        <v>0</v>
      </c>
      <c r="U301" s="570">
        <f t="shared" si="23"/>
        <v>0</v>
      </c>
      <c r="V301" s="570">
        <f t="shared" si="23"/>
        <v>0</v>
      </c>
      <c r="W301" s="570">
        <f t="shared" si="23"/>
        <v>0</v>
      </c>
      <c r="X301" s="570">
        <f t="shared" si="23"/>
        <v>0</v>
      </c>
      <c r="Z301" s="570" t="str">
        <f>IF(AND($B94&lt;&gt;"(***)",OR($F94&lt;&gt;0,$H94&lt;&gt;0)),$B94,"")</f>
        <v/>
      </c>
      <c r="AA301" s="570">
        <f t="shared" si="23"/>
        <v>0</v>
      </c>
      <c r="AB301" s="570">
        <f t="shared" si="23"/>
        <v>0</v>
      </c>
      <c r="AC301" s="570">
        <f t="shared" si="23"/>
        <v>0</v>
      </c>
      <c r="AD301" s="570">
        <f t="shared" si="23"/>
        <v>0</v>
      </c>
      <c r="AE301" s="570">
        <f t="shared" si="23"/>
        <v>0</v>
      </c>
      <c r="AF301" s="570">
        <f t="shared" si="23"/>
        <v>0</v>
      </c>
      <c r="AH301" s="570" t="str">
        <f>IF(AND($B94&lt;&gt;"(***)",OR($F94&lt;&gt;0,$H94&lt;&gt;0)),$B94,"")</f>
        <v/>
      </c>
      <c r="AI301" s="570">
        <f t="shared" si="23"/>
        <v>0</v>
      </c>
      <c r="AJ301" s="570">
        <f t="shared" si="23"/>
        <v>0</v>
      </c>
      <c r="AK301" s="570">
        <f t="shared" si="23"/>
        <v>0</v>
      </c>
      <c r="AL301" s="570">
        <f t="shared" si="23"/>
        <v>0</v>
      </c>
      <c r="AM301" s="570">
        <f t="shared" si="23"/>
        <v>0</v>
      </c>
      <c r="AN301" s="570">
        <f t="shared" si="23"/>
        <v>0</v>
      </c>
      <c r="AP301" s="570" t="str">
        <f>IF(AND($B94&lt;&gt;"(***)",OR($F94&lt;&gt;0,$H94&lt;&gt;0)),$B94,"")</f>
        <v/>
      </c>
      <c r="AQ301" s="570">
        <f t="shared" si="23"/>
        <v>0</v>
      </c>
      <c r="AR301" s="570">
        <f t="shared" si="23"/>
        <v>0</v>
      </c>
      <c r="AS301" s="570">
        <f t="shared" si="23"/>
        <v>0</v>
      </c>
      <c r="AT301" s="570">
        <f t="shared" si="23"/>
        <v>0</v>
      </c>
      <c r="AU301" s="570">
        <f t="shared" si="23"/>
        <v>0</v>
      </c>
      <c r="AV301" s="570">
        <f t="shared" si="23"/>
        <v>0</v>
      </c>
      <c r="AX301" s="570" t="str">
        <f>IF(AND($B94&lt;&gt;"(***)",OR($F94&lt;&gt;0,$H94&lt;&gt;0)),$B94,"")</f>
        <v/>
      </c>
      <c r="AY301" s="570">
        <f t="shared" si="23"/>
        <v>0</v>
      </c>
      <c r="AZ301" s="570">
        <f t="shared" si="23"/>
        <v>0</v>
      </c>
      <c r="BA301" s="570">
        <f t="shared" si="23"/>
        <v>0</v>
      </c>
      <c r="BB301" s="570">
        <f t="shared" si="23"/>
        <v>0</v>
      </c>
      <c r="BC301" s="570">
        <f t="shared" si="23"/>
        <v>0</v>
      </c>
      <c r="BD301" s="570">
        <f t="shared" si="23"/>
        <v>0</v>
      </c>
      <c r="BF301" s="570" t="str">
        <f>IF(AND($B94&lt;&gt;"(***)",OR($F94&lt;&gt;0,$H94&lt;&gt;0)),$B94,"")</f>
        <v/>
      </c>
      <c r="BG301" s="570">
        <f t="shared" si="23"/>
        <v>0</v>
      </c>
      <c r="BH301" s="570">
        <f t="shared" si="23"/>
        <v>0</v>
      </c>
      <c r="BI301" s="570">
        <f t="shared" si="23"/>
        <v>0</v>
      </c>
      <c r="BJ301" s="570">
        <f t="shared" si="23"/>
        <v>0</v>
      </c>
      <c r="BK301" s="570">
        <f t="shared" si="23"/>
        <v>0</v>
      </c>
      <c r="BL301" s="570">
        <f t="shared" si="23"/>
        <v>0</v>
      </c>
      <c r="BN301" s="570" t="str">
        <f>IF(AND($B94&lt;&gt;"(***)",OR($F94&lt;&gt;0,$H94&lt;&gt;0)),$B94,"")</f>
        <v/>
      </c>
      <c r="BO301" s="570">
        <f t="shared" si="24"/>
        <v>0</v>
      </c>
      <c r="BP301" s="570">
        <f t="shared" si="24"/>
        <v>0</v>
      </c>
      <c r="BQ301" s="570">
        <f t="shared" si="24"/>
        <v>0</v>
      </c>
      <c r="BR301" s="570">
        <f t="shared" si="24"/>
        <v>0</v>
      </c>
      <c r="BS301" s="570">
        <f t="shared" si="24"/>
        <v>0</v>
      </c>
      <c r="BT301" s="570">
        <f t="shared" si="24"/>
        <v>0</v>
      </c>
      <c r="BV301" s="570" t="str">
        <f>IF(AND($B94&lt;&gt;"(***)",OR($F94&lt;&gt;0,$H94&lt;&gt;0)),$B94,"")</f>
        <v/>
      </c>
      <c r="BW301" s="570">
        <f t="shared" si="24"/>
        <v>0</v>
      </c>
      <c r="BX301" s="570">
        <f t="shared" si="24"/>
        <v>0</v>
      </c>
      <c r="BY301" s="570">
        <f t="shared" si="24"/>
        <v>0</v>
      </c>
      <c r="BZ301" s="570">
        <f t="shared" si="24"/>
        <v>0</v>
      </c>
      <c r="CA301" s="570">
        <f t="shared" si="24"/>
        <v>0</v>
      </c>
      <c r="CB301" s="570">
        <f t="shared" si="24"/>
        <v>0</v>
      </c>
      <c r="CD301" s="570" t="str">
        <f>IF(AND($B94&lt;&gt;"(***)",OR($F94&lt;&gt;0,$H94&lt;&gt;0)),$B94,"")</f>
        <v/>
      </c>
      <c r="CE301" s="570">
        <f t="shared" si="24"/>
        <v>0</v>
      </c>
      <c r="CF301" s="570">
        <f t="shared" si="24"/>
        <v>0</v>
      </c>
      <c r="CG301" s="570">
        <f t="shared" si="24"/>
        <v>0</v>
      </c>
      <c r="CH301" s="570">
        <f t="shared" si="24"/>
        <v>0</v>
      </c>
      <c r="CI301" s="570">
        <f t="shared" si="24"/>
        <v>0</v>
      </c>
      <c r="CJ301" s="570">
        <f t="shared" si="24"/>
        <v>0</v>
      </c>
      <c r="CL301" s="570" t="str">
        <f>IF(AND($B94&lt;&gt;"(***)",OR($F94&lt;&gt;0,$H94&lt;&gt;0)),$B94,"")</f>
        <v/>
      </c>
      <c r="CM301" s="570">
        <f t="shared" si="24"/>
        <v>0</v>
      </c>
      <c r="CN301" s="570">
        <f t="shared" si="24"/>
        <v>0</v>
      </c>
      <c r="CO301" s="570">
        <f t="shared" si="24"/>
        <v>0</v>
      </c>
      <c r="CP301" s="570">
        <f t="shared" si="24"/>
        <v>0</v>
      </c>
      <c r="CQ301" s="570">
        <f t="shared" si="24"/>
        <v>0</v>
      </c>
      <c r="CR301" s="570">
        <f t="shared" si="24"/>
        <v>0</v>
      </c>
      <c r="CT301" s="570" t="str">
        <f>IF(AND($B94&lt;&gt;"(***)",OR($F94&lt;&gt;0,$H94&lt;&gt;0)),$B94,"")</f>
        <v/>
      </c>
      <c r="CU301" s="570">
        <f t="shared" si="24"/>
        <v>0</v>
      </c>
      <c r="CV301" s="570">
        <f t="shared" si="24"/>
        <v>0</v>
      </c>
      <c r="CW301" s="570">
        <f t="shared" si="24"/>
        <v>0</v>
      </c>
      <c r="CX301" s="570">
        <f t="shared" si="24"/>
        <v>0</v>
      </c>
      <c r="CY301" s="570">
        <f t="shared" si="24"/>
        <v>0</v>
      </c>
      <c r="CZ301" s="570">
        <f t="shared" si="24"/>
        <v>0</v>
      </c>
      <c r="DB301" s="570" t="str">
        <f>IF(AND($B94&lt;&gt;"(***)",OR($F94&lt;&gt;0,$H94&lt;&gt;0)),$B94,"")</f>
        <v/>
      </c>
      <c r="DC301" s="570">
        <f t="shared" si="24"/>
        <v>0</v>
      </c>
      <c r="DD301" s="570">
        <f t="shared" si="24"/>
        <v>0</v>
      </c>
      <c r="DE301" s="570">
        <f t="shared" si="24"/>
        <v>0</v>
      </c>
      <c r="DF301" s="570">
        <f t="shared" si="24"/>
        <v>0</v>
      </c>
      <c r="DG301" s="570">
        <f t="shared" si="24"/>
        <v>0</v>
      </c>
      <c r="DH301" s="570">
        <f t="shared" si="24"/>
        <v>0</v>
      </c>
      <c r="DJ301" s="570" t="str">
        <f>IF(AND($B94&lt;&gt;"(***)",OR($F94&lt;&gt;0,$H94&lt;&gt;0)),$B94,"")</f>
        <v/>
      </c>
      <c r="DK301" s="570">
        <f t="shared" si="24"/>
        <v>0</v>
      </c>
      <c r="DL301" s="570">
        <f t="shared" si="24"/>
        <v>0</v>
      </c>
      <c r="DM301" s="570">
        <f t="shared" si="24"/>
        <v>0</v>
      </c>
      <c r="DN301" s="570">
        <f t="shared" si="24"/>
        <v>0</v>
      </c>
      <c r="DO301" s="570">
        <f t="shared" si="24"/>
        <v>0</v>
      </c>
      <c r="DP301" s="570">
        <f t="shared" si="24"/>
        <v>0</v>
      </c>
      <c r="DR301" s="570" t="str">
        <f>IF(AND($B94&lt;&gt;"(***)",OR($F94&lt;&gt;0,$H94&lt;&gt;0)),$B94,"")</f>
        <v/>
      </c>
      <c r="DS301" s="570">
        <f t="shared" si="24"/>
        <v>0</v>
      </c>
      <c r="DT301" s="570">
        <f t="shared" si="24"/>
        <v>0</v>
      </c>
      <c r="DU301" s="570">
        <f t="shared" si="24"/>
        <v>0</v>
      </c>
      <c r="DV301" s="570">
        <f t="shared" si="24"/>
        <v>0</v>
      </c>
      <c r="DW301" s="570">
        <f t="shared" si="24"/>
        <v>0</v>
      </c>
      <c r="DX301" s="570">
        <f t="shared" si="24"/>
        <v>0</v>
      </c>
      <c r="DZ301" s="570" t="str">
        <f>IF(AND($B94&lt;&gt;"(***)",OR($F94&lt;&gt;0,$H94&lt;&gt;0)),$B94,"")</f>
        <v/>
      </c>
      <c r="EA301" s="570">
        <f t="shared" si="25"/>
        <v>0</v>
      </c>
      <c r="EB301" s="570">
        <f t="shared" si="25"/>
        <v>0</v>
      </c>
      <c r="EC301" s="570">
        <f t="shared" si="25"/>
        <v>0</v>
      </c>
      <c r="ED301" s="570">
        <f t="shared" si="25"/>
        <v>0</v>
      </c>
      <c r="EE301" s="570">
        <f t="shared" si="25"/>
        <v>0</v>
      </c>
      <c r="EF301" s="570">
        <f t="shared" si="25"/>
        <v>0</v>
      </c>
      <c r="EH301" s="570" t="str">
        <f>IF(AND($B94&lt;&gt;"(***)",OR($F94&lt;&gt;0,$H94&lt;&gt;0)),$B94,"")</f>
        <v/>
      </c>
      <c r="EI301" s="570">
        <f t="shared" si="25"/>
        <v>0</v>
      </c>
      <c r="EJ301" s="570">
        <f t="shared" si="25"/>
        <v>0</v>
      </c>
      <c r="EK301" s="570">
        <f t="shared" si="25"/>
        <v>0</v>
      </c>
      <c r="EL301" s="570">
        <f t="shared" si="25"/>
        <v>0</v>
      </c>
      <c r="EM301" s="570">
        <f t="shared" si="25"/>
        <v>0</v>
      </c>
      <c r="EN301" s="570">
        <f t="shared" si="25"/>
        <v>0</v>
      </c>
      <c r="EP301" s="570" t="str">
        <f>IF(AND($B94&lt;&gt;"(***)",OR($F94&lt;&gt;0,$H94&lt;&gt;0)),$B94,"")</f>
        <v/>
      </c>
      <c r="EQ301" s="570">
        <f t="shared" si="25"/>
        <v>0</v>
      </c>
      <c r="ER301" s="570">
        <f t="shared" si="25"/>
        <v>0</v>
      </c>
      <c r="ES301" s="570">
        <f t="shared" si="25"/>
        <v>0</v>
      </c>
      <c r="ET301" s="570">
        <f t="shared" si="25"/>
        <v>0</v>
      </c>
      <c r="EU301" s="570">
        <f t="shared" si="25"/>
        <v>0</v>
      </c>
      <c r="EV301" s="570">
        <f t="shared" si="25"/>
        <v>0</v>
      </c>
      <c r="EX301" s="570" t="str">
        <f>IF(AND($B94&lt;&gt;"(***)",OR($F94&lt;&gt;0,$H94&lt;&gt;0)),$B94,"")</f>
        <v/>
      </c>
      <c r="EY301" s="570">
        <f t="shared" si="25"/>
        <v>0</v>
      </c>
      <c r="EZ301" s="570">
        <f t="shared" si="25"/>
        <v>0</v>
      </c>
      <c r="FA301" s="570">
        <f t="shared" si="25"/>
        <v>0</v>
      </c>
      <c r="FB301" s="570">
        <f t="shared" si="25"/>
        <v>0</v>
      </c>
      <c r="FC301" s="570">
        <f t="shared" si="25"/>
        <v>0</v>
      </c>
      <c r="FD301" s="570">
        <f t="shared" si="25"/>
        <v>0</v>
      </c>
      <c r="FF301" s="570" t="str">
        <f>IF(AND($B94&lt;&gt;"(***)",OR($F94&lt;&gt;0,$H94&lt;&gt;0)),$B94,"")</f>
        <v/>
      </c>
      <c r="FG301" s="570">
        <f t="shared" si="25"/>
        <v>0</v>
      </c>
      <c r="FH301" s="570">
        <f t="shared" si="25"/>
        <v>0</v>
      </c>
      <c r="FI301" s="570">
        <f t="shared" si="25"/>
        <v>0</v>
      </c>
      <c r="FJ301" s="570">
        <f t="shared" si="25"/>
        <v>0</v>
      </c>
      <c r="FK301" s="570">
        <f t="shared" si="25"/>
        <v>0</v>
      </c>
      <c r="FL301" s="570">
        <f t="shared" si="25"/>
        <v>0</v>
      </c>
      <c r="FN301" s="570" t="str">
        <f>IF(AND($B94&lt;&gt;"(***)",OR($F94&lt;&gt;0,$H94&lt;&gt;0)),$B94,"")</f>
        <v/>
      </c>
      <c r="FO301" s="570">
        <f t="shared" si="25"/>
        <v>0</v>
      </c>
      <c r="FP301" s="570">
        <f t="shared" si="25"/>
        <v>0</v>
      </c>
      <c r="FQ301" s="570">
        <f t="shared" si="25"/>
        <v>0</v>
      </c>
      <c r="FR301" s="570">
        <f t="shared" si="25"/>
        <v>0</v>
      </c>
      <c r="FS301" s="570">
        <f t="shared" si="25"/>
        <v>0</v>
      </c>
      <c r="FT301" s="570">
        <f t="shared" si="25"/>
        <v>0</v>
      </c>
      <c r="FV301" s="570" t="str">
        <f>IF(AND($B94&lt;&gt;"(***)",OR($F94&lt;&gt;0,$H94&lt;&gt;0)),$B94,"")</f>
        <v/>
      </c>
      <c r="FW301" s="570">
        <f t="shared" si="25"/>
        <v>0</v>
      </c>
      <c r="FX301" s="570">
        <f t="shared" si="25"/>
        <v>0</v>
      </c>
      <c r="FY301" s="570">
        <f t="shared" si="25"/>
        <v>0</v>
      </c>
      <c r="FZ301" s="570">
        <f t="shared" si="25"/>
        <v>0</v>
      </c>
      <c r="GA301" s="570">
        <f t="shared" si="25"/>
        <v>0</v>
      </c>
      <c r="GB301" s="570">
        <f t="shared" si="25"/>
        <v>0</v>
      </c>
      <c r="GD301" s="570" t="str">
        <f>IF(AND($B94&lt;&gt;"(***)",OR($F94&lt;&gt;0,$H94&lt;&gt;0)),$B94,"")</f>
        <v/>
      </c>
      <c r="GE301" s="570">
        <f t="shared" si="25"/>
        <v>0</v>
      </c>
      <c r="GF301" s="570">
        <f t="shared" si="25"/>
        <v>0</v>
      </c>
      <c r="GG301" s="570">
        <f t="shared" si="25"/>
        <v>0</v>
      </c>
      <c r="GH301" s="570">
        <f t="shared" si="25"/>
        <v>0</v>
      </c>
      <c r="GI301" s="570">
        <f t="shared" si="25"/>
        <v>0</v>
      </c>
      <c r="GJ301" s="570">
        <f t="shared" si="25"/>
        <v>0</v>
      </c>
      <c r="GL301" s="570" t="str">
        <f>IF(AND($B94&lt;&gt;"(***)",OR($F94&lt;&gt;0,$H94&lt;&gt;0)),$B94,"")</f>
        <v/>
      </c>
      <c r="GM301" s="570">
        <f t="shared" si="26"/>
        <v>0</v>
      </c>
      <c r="GN301" s="570">
        <f t="shared" si="26"/>
        <v>0</v>
      </c>
      <c r="GO301" s="570">
        <f t="shared" si="26"/>
        <v>0</v>
      </c>
      <c r="GP301" s="570">
        <f t="shared" si="26"/>
        <v>0</v>
      </c>
      <c r="GQ301" s="570">
        <f t="shared" si="26"/>
        <v>0</v>
      </c>
      <c r="GR301" s="570">
        <f t="shared" si="26"/>
        <v>0</v>
      </c>
      <c r="GT301" s="570" t="str">
        <f>IF(AND($B94&lt;&gt;"(***)",OR($F94&lt;&gt;0,$H94&lt;&gt;0)),$B94,"")</f>
        <v/>
      </c>
      <c r="GU301" s="570">
        <f t="shared" si="26"/>
        <v>0</v>
      </c>
      <c r="GV301" s="570">
        <f t="shared" si="26"/>
        <v>0</v>
      </c>
      <c r="GW301" s="570">
        <f t="shared" si="26"/>
        <v>0</v>
      </c>
      <c r="GX301" s="570">
        <f t="shared" si="26"/>
        <v>0</v>
      </c>
      <c r="GY301" s="570">
        <f t="shared" si="26"/>
        <v>0</v>
      </c>
      <c r="GZ301" s="570">
        <f t="shared" si="26"/>
        <v>0</v>
      </c>
      <c r="HB301" s="570" t="str">
        <f>IF(AND($B94&lt;&gt;"(***)",OR($F94&lt;&gt;0,$H94&lt;&gt;0)),$B94,"")</f>
        <v/>
      </c>
      <c r="HC301" s="570">
        <f t="shared" si="26"/>
        <v>0</v>
      </c>
      <c r="HD301" s="570">
        <f t="shared" si="26"/>
        <v>0</v>
      </c>
      <c r="HE301" s="570">
        <f t="shared" si="26"/>
        <v>0</v>
      </c>
      <c r="HF301" s="570">
        <f t="shared" si="26"/>
        <v>0</v>
      </c>
      <c r="HG301" s="570">
        <f t="shared" si="26"/>
        <v>0</v>
      </c>
      <c r="HH301" s="570">
        <f t="shared" si="26"/>
        <v>0</v>
      </c>
      <c r="HJ301" s="570" t="str">
        <f>IF(AND($B94&lt;&gt;"(***)",OR($F94&lt;&gt;0,$H94&lt;&gt;0)),$B94,"")</f>
        <v/>
      </c>
      <c r="HK301" s="570">
        <f t="shared" si="26"/>
        <v>0</v>
      </c>
      <c r="HL301" s="570">
        <f t="shared" si="26"/>
        <v>0</v>
      </c>
      <c r="HM301" s="570">
        <f t="shared" si="26"/>
        <v>0</v>
      </c>
      <c r="HN301" s="570">
        <f t="shared" si="26"/>
        <v>0</v>
      </c>
      <c r="HO301" s="570">
        <f t="shared" si="26"/>
        <v>0</v>
      </c>
      <c r="HP301" s="570">
        <f t="shared" si="26"/>
        <v>0</v>
      </c>
      <c r="HR301" s="570" t="str">
        <f>IF(AND($B94&lt;&gt;"(***)",OR($F94&lt;&gt;0,$H94&lt;&gt;0)),$B94,"")</f>
        <v/>
      </c>
      <c r="HS301" s="570">
        <f t="shared" si="26"/>
        <v>0</v>
      </c>
      <c r="HT301" s="570">
        <f t="shared" si="26"/>
        <v>0</v>
      </c>
      <c r="HU301" s="570">
        <f t="shared" si="26"/>
        <v>0</v>
      </c>
      <c r="HV301" s="570">
        <f t="shared" si="26"/>
        <v>0</v>
      </c>
      <c r="HW301" s="570">
        <f t="shared" si="26"/>
        <v>0</v>
      </c>
      <c r="HX301" s="570">
        <f t="shared" si="26"/>
        <v>0</v>
      </c>
      <c r="HZ301" s="570" t="str">
        <f>IF(AND($B94&lt;&gt;"(***)",OR($F94&lt;&gt;0,$H94&lt;&gt;0)),$B94,"")</f>
        <v/>
      </c>
      <c r="IA301" s="570">
        <f t="shared" si="26"/>
        <v>0</v>
      </c>
      <c r="IB301" s="570">
        <f t="shared" si="26"/>
        <v>0</v>
      </c>
      <c r="IC301" s="570">
        <f t="shared" si="26"/>
        <v>0</v>
      </c>
      <c r="ID301" s="570">
        <f t="shared" si="26"/>
        <v>0</v>
      </c>
      <c r="IE301" s="570">
        <f t="shared" si="26"/>
        <v>0</v>
      </c>
      <c r="IF301" s="570">
        <f t="shared" si="26"/>
        <v>0</v>
      </c>
      <c r="IH301" s="570" t="str">
        <f>IF(AND($B94&lt;&gt;"(***)",OR($F94&lt;&gt;0,$H94&lt;&gt;0)),$B94,"")</f>
        <v/>
      </c>
      <c r="II301" s="570">
        <f t="shared" si="26"/>
        <v>0</v>
      </c>
      <c r="IJ301" s="570">
        <f t="shared" si="26"/>
        <v>0</v>
      </c>
      <c r="IK301" s="570">
        <f t="shared" si="26"/>
        <v>0</v>
      </c>
      <c r="IL301" s="570">
        <f t="shared" si="26"/>
        <v>0</v>
      </c>
      <c r="IM301" s="570">
        <f t="shared" si="26"/>
        <v>0</v>
      </c>
      <c r="IN301" s="570">
        <f t="shared" si="26"/>
        <v>0</v>
      </c>
      <c r="IP301" s="570" t="str">
        <f>IF(AND($B94&lt;&gt;"(***)",OR($F94&lt;&gt;0,$H94&lt;&gt;0)),$B94,"")</f>
        <v/>
      </c>
      <c r="IQ301" s="570">
        <f t="shared" si="26"/>
        <v>0</v>
      </c>
      <c r="IR301" s="570">
        <f t="shared" si="26"/>
        <v>0</v>
      </c>
      <c r="IS301" s="570">
        <f t="shared" si="26"/>
        <v>0</v>
      </c>
      <c r="IT301" s="570">
        <f t="shared" si="26"/>
        <v>0</v>
      </c>
      <c r="IU301" s="570">
        <f t="shared" si="26"/>
        <v>0</v>
      </c>
      <c r="IV301" s="570">
        <f t="shared" si="26"/>
        <v>0</v>
      </c>
    </row>
    <row r="302" spans="2:256">
      <c r="B302" s="615" t="str">
        <f>IF(AND($B95&lt;&gt;"(***)",OR($F95&lt;&gt;0,$H95&lt;&gt;0)),$B95,"")</f>
        <v/>
      </c>
      <c r="C302" s="615">
        <f t="shared" si="23"/>
        <v>0</v>
      </c>
      <c r="D302" s="570">
        <f t="shared" si="23"/>
        <v>0</v>
      </c>
      <c r="E302" s="570">
        <f t="shared" si="23"/>
        <v>0</v>
      </c>
      <c r="F302" s="616">
        <f t="shared" si="23"/>
        <v>0</v>
      </c>
      <c r="G302" s="570">
        <f t="shared" si="23"/>
        <v>0</v>
      </c>
      <c r="H302" s="616">
        <f t="shared" si="23"/>
        <v>0</v>
      </c>
      <c r="J302" s="570" t="str">
        <f>IF(AND($B95&lt;&gt;"(***)",OR($F95&lt;&gt;0,$H95&lt;&gt;0)),$B95,"")</f>
        <v/>
      </c>
      <c r="K302" s="570">
        <f t="shared" si="23"/>
        <v>0</v>
      </c>
      <c r="L302" s="570">
        <f t="shared" si="23"/>
        <v>0</v>
      </c>
      <c r="M302" s="570">
        <f t="shared" si="23"/>
        <v>0</v>
      </c>
      <c r="N302" s="570">
        <f t="shared" si="23"/>
        <v>0</v>
      </c>
      <c r="O302" s="570">
        <f t="shared" si="23"/>
        <v>0</v>
      </c>
      <c r="P302" s="570">
        <f t="shared" si="23"/>
        <v>0</v>
      </c>
      <c r="R302" s="570" t="str">
        <f>IF(AND($B95&lt;&gt;"(***)",OR($F95&lt;&gt;0,$H95&lt;&gt;0)),$B95,"")</f>
        <v/>
      </c>
      <c r="S302" s="570">
        <f t="shared" si="23"/>
        <v>0</v>
      </c>
      <c r="T302" s="570">
        <f t="shared" si="23"/>
        <v>0</v>
      </c>
      <c r="U302" s="570">
        <f t="shared" si="23"/>
        <v>0</v>
      </c>
      <c r="V302" s="570">
        <f t="shared" si="23"/>
        <v>0</v>
      </c>
      <c r="W302" s="570">
        <f t="shared" si="23"/>
        <v>0</v>
      </c>
      <c r="X302" s="570">
        <f t="shared" si="23"/>
        <v>0</v>
      </c>
      <c r="Z302" s="570" t="str">
        <f>IF(AND($B95&lt;&gt;"(***)",OR($F95&lt;&gt;0,$H95&lt;&gt;0)),$B95,"")</f>
        <v/>
      </c>
      <c r="AA302" s="570">
        <f t="shared" si="23"/>
        <v>0</v>
      </c>
      <c r="AB302" s="570">
        <f t="shared" si="23"/>
        <v>0</v>
      </c>
      <c r="AC302" s="570">
        <f t="shared" si="23"/>
        <v>0</v>
      </c>
      <c r="AD302" s="570">
        <f t="shared" si="23"/>
        <v>0</v>
      </c>
      <c r="AE302" s="570">
        <f t="shared" si="23"/>
        <v>0</v>
      </c>
      <c r="AF302" s="570">
        <f t="shared" si="23"/>
        <v>0</v>
      </c>
      <c r="AH302" s="570" t="str">
        <f>IF(AND($B95&lt;&gt;"(***)",OR($F95&lt;&gt;0,$H95&lt;&gt;0)),$B95,"")</f>
        <v/>
      </c>
      <c r="AI302" s="570">
        <f t="shared" si="23"/>
        <v>0</v>
      </c>
      <c r="AJ302" s="570">
        <f t="shared" si="23"/>
        <v>0</v>
      </c>
      <c r="AK302" s="570">
        <f t="shared" si="23"/>
        <v>0</v>
      </c>
      <c r="AL302" s="570">
        <f t="shared" si="23"/>
        <v>0</v>
      </c>
      <c r="AM302" s="570">
        <f t="shared" si="23"/>
        <v>0</v>
      </c>
      <c r="AN302" s="570">
        <f t="shared" si="23"/>
        <v>0</v>
      </c>
      <c r="AP302" s="570" t="str">
        <f>IF(AND($B95&lt;&gt;"(***)",OR($F95&lt;&gt;0,$H95&lt;&gt;0)),$B95,"")</f>
        <v/>
      </c>
      <c r="AQ302" s="570">
        <f t="shared" si="23"/>
        <v>0</v>
      </c>
      <c r="AR302" s="570">
        <f t="shared" si="23"/>
        <v>0</v>
      </c>
      <c r="AS302" s="570">
        <f t="shared" si="23"/>
        <v>0</v>
      </c>
      <c r="AT302" s="570">
        <f t="shared" si="23"/>
        <v>0</v>
      </c>
      <c r="AU302" s="570">
        <f t="shared" si="23"/>
        <v>0</v>
      </c>
      <c r="AV302" s="570">
        <f t="shared" si="23"/>
        <v>0</v>
      </c>
      <c r="AX302" s="570" t="str">
        <f>IF(AND($B95&lt;&gt;"(***)",OR($F95&lt;&gt;0,$H95&lt;&gt;0)),$B95,"")</f>
        <v/>
      </c>
      <c r="AY302" s="570">
        <f t="shared" si="23"/>
        <v>0</v>
      </c>
      <c r="AZ302" s="570">
        <f t="shared" si="23"/>
        <v>0</v>
      </c>
      <c r="BA302" s="570">
        <f t="shared" si="23"/>
        <v>0</v>
      </c>
      <c r="BB302" s="570">
        <f t="shared" si="23"/>
        <v>0</v>
      </c>
      <c r="BC302" s="570">
        <f t="shared" si="23"/>
        <v>0</v>
      </c>
      <c r="BD302" s="570">
        <f t="shared" si="23"/>
        <v>0</v>
      </c>
      <c r="BF302" s="570" t="str">
        <f>IF(AND($B95&lt;&gt;"(***)",OR($F95&lt;&gt;0,$H95&lt;&gt;0)),$B95,"")</f>
        <v/>
      </c>
      <c r="BG302" s="570">
        <f t="shared" si="23"/>
        <v>0</v>
      </c>
      <c r="BH302" s="570">
        <f t="shared" si="23"/>
        <v>0</v>
      </c>
      <c r="BI302" s="570">
        <f t="shared" si="23"/>
        <v>0</v>
      </c>
      <c r="BJ302" s="570">
        <f t="shared" si="23"/>
        <v>0</v>
      </c>
      <c r="BK302" s="570">
        <f t="shared" si="23"/>
        <v>0</v>
      </c>
      <c r="BL302" s="570">
        <f t="shared" si="23"/>
        <v>0</v>
      </c>
      <c r="BN302" s="570" t="str">
        <f>IF(AND($B95&lt;&gt;"(***)",OR($F95&lt;&gt;0,$H95&lt;&gt;0)),$B95,"")</f>
        <v/>
      </c>
      <c r="BO302" s="570">
        <f t="shared" si="24"/>
        <v>0</v>
      </c>
      <c r="BP302" s="570">
        <f t="shared" si="24"/>
        <v>0</v>
      </c>
      <c r="BQ302" s="570">
        <f t="shared" si="24"/>
        <v>0</v>
      </c>
      <c r="BR302" s="570">
        <f t="shared" si="24"/>
        <v>0</v>
      </c>
      <c r="BS302" s="570">
        <f t="shared" si="24"/>
        <v>0</v>
      </c>
      <c r="BT302" s="570">
        <f t="shared" si="24"/>
        <v>0</v>
      </c>
      <c r="BV302" s="570" t="str">
        <f>IF(AND($B95&lt;&gt;"(***)",OR($F95&lt;&gt;0,$H95&lt;&gt;0)),$B95,"")</f>
        <v/>
      </c>
      <c r="BW302" s="570">
        <f t="shared" si="24"/>
        <v>0</v>
      </c>
      <c r="BX302" s="570">
        <f t="shared" si="24"/>
        <v>0</v>
      </c>
      <c r="BY302" s="570">
        <f t="shared" si="24"/>
        <v>0</v>
      </c>
      <c r="BZ302" s="570">
        <f t="shared" si="24"/>
        <v>0</v>
      </c>
      <c r="CA302" s="570">
        <f t="shared" si="24"/>
        <v>0</v>
      </c>
      <c r="CB302" s="570">
        <f t="shared" si="24"/>
        <v>0</v>
      </c>
      <c r="CD302" s="570" t="str">
        <f>IF(AND($B95&lt;&gt;"(***)",OR($F95&lt;&gt;0,$H95&lt;&gt;0)),$B95,"")</f>
        <v/>
      </c>
      <c r="CE302" s="570">
        <f t="shared" si="24"/>
        <v>0</v>
      </c>
      <c r="CF302" s="570">
        <f t="shared" si="24"/>
        <v>0</v>
      </c>
      <c r="CG302" s="570">
        <f t="shared" si="24"/>
        <v>0</v>
      </c>
      <c r="CH302" s="570">
        <f t="shared" si="24"/>
        <v>0</v>
      </c>
      <c r="CI302" s="570">
        <f t="shared" si="24"/>
        <v>0</v>
      </c>
      <c r="CJ302" s="570">
        <f t="shared" si="24"/>
        <v>0</v>
      </c>
      <c r="CL302" s="570" t="str">
        <f>IF(AND($B95&lt;&gt;"(***)",OR($F95&lt;&gt;0,$H95&lt;&gt;0)),$B95,"")</f>
        <v/>
      </c>
      <c r="CM302" s="570">
        <f t="shared" si="24"/>
        <v>0</v>
      </c>
      <c r="CN302" s="570">
        <f t="shared" si="24"/>
        <v>0</v>
      </c>
      <c r="CO302" s="570">
        <f t="shared" si="24"/>
        <v>0</v>
      </c>
      <c r="CP302" s="570">
        <f t="shared" si="24"/>
        <v>0</v>
      </c>
      <c r="CQ302" s="570">
        <f t="shared" si="24"/>
        <v>0</v>
      </c>
      <c r="CR302" s="570">
        <f t="shared" si="24"/>
        <v>0</v>
      </c>
      <c r="CT302" s="570" t="str">
        <f>IF(AND($B95&lt;&gt;"(***)",OR($F95&lt;&gt;0,$H95&lt;&gt;0)),$B95,"")</f>
        <v/>
      </c>
      <c r="CU302" s="570">
        <f t="shared" si="24"/>
        <v>0</v>
      </c>
      <c r="CV302" s="570">
        <f t="shared" si="24"/>
        <v>0</v>
      </c>
      <c r="CW302" s="570">
        <f t="shared" si="24"/>
        <v>0</v>
      </c>
      <c r="CX302" s="570">
        <f t="shared" si="24"/>
        <v>0</v>
      </c>
      <c r="CY302" s="570">
        <f t="shared" si="24"/>
        <v>0</v>
      </c>
      <c r="CZ302" s="570">
        <f t="shared" si="24"/>
        <v>0</v>
      </c>
      <c r="DB302" s="570" t="str">
        <f>IF(AND($B95&lt;&gt;"(***)",OR($F95&lt;&gt;0,$H95&lt;&gt;0)),$B95,"")</f>
        <v/>
      </c>
      <c r="DC302" s="570">
        <f t="shared" si="24"/>
        <v>0</v>
      </c>
      <c r="DD302" s="570">
        <f t="shared" si="24"/>
        <v>0</v>
      </c>
      <c r="DE302" s="570">
        <f t="shared" si="24"/>
        <v>0</v>
      </c>
      <c r="DF302" s="570">
        <f t="shared" si="24"/>
        <v>0</v>
      </c>
      <c r="DG302" s="570">
        <f t="shared" si="24"/>
        <v>0</v>
      </c>
      <c r="DH302" s="570">
        <f t="shared" si="24"/>
        <v>0</v>
      </c>
      <c r="DJ302" s="570" t="str">
        <f>IF(AND($B95&lt;&gt;"(***)",OR($F95&lt;&gt;0,$H95&lt;&gt;0)),$B95,"")</f>
        <v/>
      </c>
      <c r="DK302" s="570">
        <f t="shared" si="24"/>
        <v>0</v>
      </c>
      <c r="DL302" s="570">
        <f t="shared" si="24"/>
        <v>0</v>
      </c>
      <c r="DM302" s="570">
        <f t="shared" si="24"/>
        <v>0</v>
      </c>
      <c r="DN302" s="570">
        <f t="shared" si="24"/>
        <v>0</v>
      </c>
      <c r="DO302" s="570">
        <f t="shared" si="24"/>
        <v>0</v>
      </c>
      <c r="DP302" s="570">
        <f t="shared" si="24"/>
        <v>0</v>
      </c>
      <c r="DR302" s="570" t="str">
        <f>IF(AND($B95&lt;&gt;"(***)",OR($F95&lt;&gt;0,$H95&lt;&gt;0)),$B95,"")</f>
        <v/>
      </c>
      <c r="DS302" s="570">
        <f t="shared" si="24"/>
        <v>0</v>
      </c>
      <c r="DT302" s="570">
        <f t="shared" si="24"/>
        <v>0</v>
      </c>
      <c r="DU302" s="570">
        <f t="shared" si="24"/>
        <v>0</v>
      </c>
      <c r="DV302" s="570">
        <f t="shared" si="24"/>
        <v>0</v>
      </c>
      <c r="DW302" s="570">
        <f t="shared" si="24"/>
        <v>0</v>
      </c>
      <c r="DX302" s="570">
        <f t="shared" si="24"/>
        <v>0</v>
      </c>
      <c r="DZ302" s="570" t="str">
        <f>IF(AND($B95&lt;&gt;"(***)",OR($F95&lt;&gt;0,$H95&lt;&gt;0)),$B95,"")</f>
        <v/>
      </c>
      <c r="EA302" s="570">
        <f t="shared" si="25"/>
        <v>0</v>
      </c>
      <c r="EB302" s="570">
        <f t="shared" si="25"/>
        <v>0</v>
      </c>
      <c r="EC302" s="570">
        <f t="shared" si="25"/>
        <v>0</v>
      </c>
      <c r="ED302" s="570">
        <f t="shared" si="25"/>
        <v>0</v>
      </c>
      <c r="EE302" s="570">
        <f t="shared" si="25"/>
        <v>0</v>
      </c>
      <c r="EF302" s="570">
        <f t="shared" si="25"/>
        <v>0</v>
      </c>
      <c r="EH302" s="570" t="str">
        <f>IF(AND($B95&lt;&gt;"(***)",OR($F95&lt;&gt;0,$H95&lt;&gt;0)),$B95,"")</f>
        <v/>
      </c>
      <c r="EI302" s="570">
        <f t="shared" si="25"/>
        <v>0</v>
      </c>
      <c r="EJ302" s="570">
        <f t="shared" si="25"/>
        <v>0</v>
      </c>
      <c r="EK302" s="570">
        <f t="shared" si="25"/>
        <v>0</v>
      </c>
      <c r="EL302" s="570">
        <f t="shared" si="25"/>
        <v>0</v>
      </c>
      <c r="EM302" s="570">
        <f t="shared" si="25"/>
        <v>0</v>
      </c>
      <c r="EN302" s="570">
        <f t="shared" si="25"/>
        <v>0</v>
      </c>
      <c r="EP302" s="570" t="str">
        <f>IF(AND($B95&lt;&gt;"(***)",OR($F95&lt;&gt;0,$H95&lt;&gt;0)),$B95,"")</f>
        <v/>
      </c>
      <c r="EQ302" s="570">
        <f t="shared" si="25"/>
        <v>0</v>
      </c>
      <c r="ER302" s="570">
        <f t="shared" si="25"/>
        <v>0</v>
      </c>
      <c r="ES302" s="570">
        <f t="shared" si="25"/>
        <v>0</v>
      </c>
      <c r="ET302" s="570">
        <f t="shared" si="25"/>
        <v>0</v>
      </c>
      <c r="EU302" s="570">
        <f t="shared" si="25"/>
        <v>0</v>
      </c>
      <c r="EV302" s="570">
        <f t="shared" si="25"/>
        <v>0</v>
      </c>
      <c r="EX302" s="570" t="str">
        <f>IF(AND($B95&lt;&gt;"(***)",OR($F95&lt;&gt;0,$H95&lt;&gt;0)),$B95,"")</f>
        <v/>
      </c>
      <c r="EY302" s="570">
        <f t="shared" si="25"/>
        <v>0</v>
      </c>
      <c r="EZ302" s="570">
        <f t="shared" si="25"/>
        <v>0</v>
      </c>
      <c r="FA302" s="570">
        <f t="shared" si="25"/>
        <v>0</v>
      </c>
      <c r="FB302" s="570">
        <f t="shared" si="25"/>
        <v>0</v>
      </c>
      <c r="FC302" s="570">
        <f t="shared" si="25"/>
        <v>0</v>
      </c>
      <c r="FD302" s="570">
        <f t="shared" si="25"/>
        <v>0</v>
      </c>
      <c r="FF302" s="570" t="str">
        <f>IF(AND($B95&lt;&gt;"(***)",OR($F95&lt;&gt;0,$H95&lt;&gt;0)),$B95,"")</f>
        <v/>
      </c>
      <c r="FG302" s="570">
        <f t="shared" si="25"/>
        <v>0</v>
      </c>
      <c r="FH302" s="570">
        <f t="shared" si="25"/>
        <v>0</v>
      </c>
      <c r="FI302" s="570">
        <f t="shared" si="25"/>
        <v>0</v>
      </c>
      <c r="FJ302" s="570">
        <f t="shared" si="25"/>
        <v>0</v>
      </c>
      <c r="FK302" s="570">
        <f t="shared" si="25"/>
        <v>0</v>
      </c>
      <c r="FL302" s="570">
        <f t="shared" si="25"/>
        <v>0</v>
      </c>
      <c r="FN302" s="570" t="str">
        <f>IF(AND($B95&lt;&gt;"(***)",OR($F95&lt;&gt;0,$H95&lt;&gt;0)),$B95,"")</f>
        <v/>
      </c>
      <c r="FO302" s="570">
        <f t="shared" si="25"/>
        <v>0</v>
      </c>
      <c r="FP302" s="570">
        <f t="shared" si="25"/>
        <v>0</v>
      </c>
      <c r="FQ302" s="570">
        <f t="shared" si="25"/>
        <v>0</v>
      </c>
      <c r="FR302" s="570">
        <f t="shared" si="25"/>
        <v>0</v>
      </c>
      <c r="FS302" s="570">
        <f t="shared" si="25"/>
        <v>0</v>
      </c>
      <c r="FT302" s="570">
        <f t="shared" si="25"/>
        <v>0</v>
      </c>
      <c r="FV302" s="570" t="str">
        <f>IF(AND($B95&lt;&gt;"(***)",OR($F95&lt;&gt;0,$H95&lt;&gt;0)),$B95,"")</f>
        <v/>
      </c>
      <c r="FW302" s="570">
        <f t="shared" si="25"/>
        <v>0</v>
      </c>
      <c r="FX302" s="570">
        <f t="shared" si="25"/>
        <v>0</v>
      </c>
      <c r="FY302" s="570">
        <f t="shared" si="25"/>
        <v>0</v>
      </c>
      <c r="FZ302" s="570">
        <f t="shared" si="25"/>
        <v>0</v>
      </c>
      <c r="GA302" s="570">
        <f t="shared" si="25"/>
        <v>0</v>
      </c>
      <c r="GB302" s="570">
        <f t="shared" si="25"/>
        <v>0</v>
      </c>
      <c r="GD302" s="570" t="str">
        <f>IF(AND($B95&lt;&gt;"(***)",OR($F95&lt;&gt;0,$H95&lt;&gt;0)),$B95,"")</f>
        <v/>
      </c>
      <c r="GE302" s="570">
        <f t="shared" si="25"/>
        <v>0</v>
      </c>
      <c r="GF302" s="570">
        <f t="shared" si="25"/>
        <v>0</v>
      </c>
      <c r="GG302" s="570">
        <f t="shared" si="25"/>
        <v>0</v>
      </c>
      <c r="GH302" s="570">
        <f t="shared" si="25"/>
        <v>0</v>
      </c>
      <c r="GI302" s="570">
        <f t="shared" si="25"/>
        <v>0</v>
      </c>
      <c r="GJ302" s="570">
        <f t="shared" si="25"/>
        <v>0</v>
      </c>
      <c r="GL302" s="570" t="str">
        <f>IF(AND($B95&lt;&gt;"(***)",OR($F95&lt;&gt;0,$H95&lt;&gt;0)),$B95,"")</f>
        <v/>
      </c>
      <c r="GM302" s="570">
        <f t="shared" si="26"/>
        <v>0</v>
      </c>
      <c r="GN302" s="570">
        <f t="shared" si="26"/>
        <v>0</v>
      </c>
      <c r="GO302" s="570">
        <f t="shared" si="26"/>
        <v>0</v>
      </c>
      <c r="GP302" s="570">
        <f t="shared" si="26"/>
        <v>0</v>
      </c>
      <c r="GQ302" s="570">
        <f t="shared" si="26"/>
        <v>0</v>
      </c>
      <c r="GR302" s="570">
        <f t="shared" si="26"/>
        <v>0</v>
      </c>
      <c r="GT302" s="570" t="str">
        <f>IF(AND($B95&lt;&gt;"(***)",OR($F95&lt;&gt;0,$H95&lt;&gt;0)),$B95,"")</f>
        <v/>
      </c>
      <c r="GU302" s="570">
        <f t="shared" si="26"/>
        <v>0</v>
      </c>
      <c r="GV302" s="570">
        <f t="shared" si="26"/>
        <v>0</v>
      </c>
      <c r="GW302" s="570">
        <f t="shared" si="26"/>
        <v>0</v>
      </c>
      <c r="GX302" s="570">
        <f t="shared" si="26"/>
        <v>0</v>
      </c>
      <c r="GY302" s="570">
        <f t="shared" si="26"/>
        <v>0</v>
      </c>
      <c r="GZ302" s="570">
        <f t="shared" si="26"/>
        <v>0</v>
      </c>
      <c r="HB302" s="570" t="str">
        <f>IF(AND($B95&lt;&gt;"(***)",OR($F95&lt;&gt;0,$H95&lt;&gt;0)),$B95,"")</f>
        <v/>
      </c>
      <c r="HC302" s="570">
        <f t="shared" si="26"/>
        <v>0</v>
      </c>
      <c r="HD302" s="570">
        <f t="shared" si="26"/>
        <v>0</v>
      </c>
      <c r="HE302" s="570">
        <f t="shared" si="26"/>
        <v>0</v>
      </c>
      <c r="HF302" s="570">
        <f t="shared" si="26"/>
        <v>0</v>
      </c>
      <c r="HG302" s="570">
        <f t="shared" si="26"/>
        <v>0</v>
      </c>
      <c r="HH302" s="570">
        <f t="shared" si="26"/>
        <v>0</v>
      </c>
      <c r="HJ302" s="570" t="str">
        <f>IF(AND($B95&lt;&gt;"(***)",OR($F95&lt;&gt;0,$H95&lt;&gt;0)),$B95,"")</f>
        <v/>
      </c>
      <c r="HK302" s="570">
        <f t="shared" si="26"/>
        <v>0</v>
      </c>
      <c r="HL302" s="570">
        <f t="shared" si="26"/>
        <v>0</v>
      </c>
      <c r="HM302" s="570">
        <f t="shared" si="26"/>
        <v>0</v>
      </c>
      <c r="HN302" s="570">
        <f t="shared" si="26"/>
        <v>0</v>
      </c>
      <c r="HO302" s="570">
        <f t="shared" si="26"/>
        <v>0</v>
      </c>
      <c r="HP302" s="570">
        <f t="shared" si="26"/>
        <v>0</v>
      </c>
      <c r="HR302" s="570" t="str">
        <f>IF(AND($B95&lt;&gt;"(***)",OR($F95&lt;&gt;0,$H95&lt;&gt;0)),$B95,"")</f>
        <v/>
      </c>
      <c r="HS302" s="570">
        <f t="shared" si="26"/>
        <v>0</v>
      </c>
      <c r="HT302" s="570">
        <f t="shared" si="26"/>
        <v>0</v>
      </c>
      <c r="HU302" s="570">
        <f t="shared" si="26"/>
        <v>0</v>
      </c>
      <c r="HV302" s="570">
        <f t="shared" si="26"/>
        <v>0</v>
      </c>
      <c r="HW302" s="570">
        <f t="shared" si="26"/>
        <v>0</v>
      </c>
      <c r="HX302" s="570">
        <f t="shared" si="26"/>
        <v>0</v>
      </c>
      <c r="HZ302" s="570" t="str">
        <f>IF(AND($B95&lt;&gt;"(***)",OR($F95&lt;&gt;0,$H95&lt;&gt;0)),$B95,"")</f>
        <v/>
      </c>
      <c r="IA302" s="570">
        <f t="shared" si="26"/>
        <v>0</v>
      </c>
      <c r="IB302" s="570">
        <f t="shared" si="26"/>
        <v>0</v>
      </c>
      <c r="IC302" s="570">
        <f t="shared" si="26"/>
        <v>0</v>
      </c>
      <c r="ID302" s="570">
        <f t="shared" si="26"/>
        <v>0</v>
      </c>
      <c r="IE302" s="570">
        <f t="shared" si="26"/>
        <v>0</v>
      </c>
      <c r="IF302" s="570">
        <f t="shared" si="26"/>
        <v>0</v>
      </c>
      <c r="IH302" s="570" t="str">
        <f>IF(AND($B95&lt;&gt;"(***)",OR($F95&lt;&gt;0,$H95&lt;&gt;0)),$B95,"")</f>
        <v/>
      </c>
      <c r="II302" s="570">
        <f t="shared" si="26"/>
        <v>0</v>
      </c>
      <c r="IJ302" s="570">
        <f t="shared" si="26"/>
        <v>0</v>
      </c>
      <c r="IK302" s="570">
        <f t="shared" si="26"/>
        <v>0</v>
      </c>
      <c r="IL302" s="570">
        <f t="shared" si="26"/>
        <v>0</v>
      </c>
      <c r="IM302" s="570">
        <f t="shared" si="26"/>
        <v>0</v>
      </c>
      <c r="IN302" s="570">
        <f t="shared" si="26"/>
        <v>0</v>
      </c>
      <c r="IP302" s="570" t="str">
        <f>IF(AND($B95&lt;&gt;"(***)",OR($F95&lt;&gt;0,$H95&lt;&gt;0)),$B95,"")</f>
        <v/>
      </c>
      <c r="IQ302" s="570">
        <f t="shared" si="26"/>
        <v>0</v>
      </c>
      <c r="IR302" s="570">
        <f t="shared" si="26"/>
        <v>0</v>
      </c>
      <c r="IS302" s="570">
        <f t="shared" si="26"/>
        <v>0</v>
      </c>
      <c r="IT302" s="570">
        <f t="shared" si="26"/>
        <v>0</v>
      </c>
      <c r="IU302" s="570">
        <f t="shared" si="26"/>
        <v>0</v>
      </c>
      <c r="IV302" s="570">
        <f t="shared" si="26"/>
        <v>0</v>
      </c>
    </row>
    <row r="303" spans="2:256">
      <c r="B303" s="615" t="str">
        <f>IF(AND($B96&lt;&gt;"(***)",OR($F96&lt;&gt;0,$H96&lt;&gt;0)),$B96,"")</f>
        <v/>
      </c>
      <c r="C303" s="615">
        <f t="shared" ref="C303:H306" si="27">C96</f>
        <v>0</v>
      </c>
      <c r="D303" s="570">
        <f t="shared" si="27"/>
        <v>0</v>
      </c>
      <c r="E303" s="570">
        <f t="shared" si="27"/>
        <v>0</v>
      </c>
      <c r="F303" s="616">
        <f t="shared" si="27"/>
        <v>0</v>
      </c>
      <c r="G303" s="570">
        <f t="shared" si="27"/>
        <v>0</v>
      </c>
      <c r="H303" s="616">
        <f t="shared" si="27"/>
        <v>0</v>
      </c>
      <c r="J303" s="570" t="str">
        <f>IF(AND($B96&lt;&gt;"(***)",OR($F96&lt;&gt;0,$H96&lt;&gt;0)),$B96,"")</f>
        <v/>
      </c>
      <c r="K303" s="570">
        <f t="shared" ref="K303:P306" si="28">K96</f>
        <v>0</v>
      </c>
      <c r="L303" s="570">
        <f t="shared" si="28"/>
        <v>0</v>
      </c>
      <c r="M303" s="570">
        <f t="shared" si="28"/>
        <v>0</v>
      </c>
      <c r="N303" s="570">
        <f t="shared" si="28"/>
        <v>0</v>
      </c>
      <c r="O303" s="570">
        <f t="shared" si="28"/>
        <v>0</v>
      </c>
      <c r="P303" s="570">
        <f t="shared" si="28"/>
        <v>0</v>
      </c>
      <c r="R303" s="570" t="str">
        <f>IF(AND($B96&lt;&gt;"(***)",OR($F96&lt;&gt;0,$H96&lt;&gt;0)),$B96,"")</f>
        <v/>
      </c>
      <c r="S303" s="570">
        <f t="shared" ref="S303:X306" si="29">S96</f>
        <v>0</v>
      </c>
      <c r="T303" s="570">
        <f t="shared" si="29"/>
        <v>0</v>
      </c>
      <c r="U303" s="570">
        <f t="shared" si="29"/>
        <v>0</v>
      </c>
      <c r="V303" s="570">
        <f t="shared" si="29"/>
        <v>0</v>
      </c>
      <c r="W303" s="570">
        <f t="shared" si="29"/>
        <v>0</v>
      </c>
      <c r="X303" s="570">
        <f t="shared" si="29"/>
        <v>0</v>
      </c>
      <c r="Z303" s="570" t="str">
        <f>IF(AND($B96&lt;&gt;"(***)",OR($F96&lt;&gt;0,$H96&lt;&gt;0)),$B96,"")</f>
        <v/>
      </c>
      <c r="AA303" s="570">
        <f t="shared" ref="AA303:AF306" si="30">AA96</f>
        <v>0</v>
      </c>
      <c r="AB303" s="570">
        <f t="shared" si="30"/>
        <v>0</v>
      </c>
      <c r="AC303" s="570">
        <f t="shared" si="30"/>
        <v>0</v>
      </c>
      <c r="AD303" s="570">
        <f t="shared" si="30"/>
        <v>0</v>
      </c>
      <c r="AE303" s="570">
        <f t="shared" si="30"/>
        <v>0</v>
      </c>
      <c r="AF303" s="570">
        <f t="shared" si="30"/>
        <v>0</v>
      </c>
      <c r="AH303" s="570" t="str">
        <f>IF(AND($B96&lt;&gt;"(***)",OR($F96&lt;&gt;0,$H96&lt;&gt;0)),$B96,"")</f>
        <v/>
      </c>
      <c r="AI303" s="570">
        <f t="shared" ref="AI303:AN306" si="31">AI96</f>
        <v>0</v>
      </c>
      <c r="AJ303" s="570">
        <f t="shared" si="31"/>
        <v>0</v>
      </c>
      <c r="AK303" s="570">
        <f t="shared" si="31"/>
        <v>0</v>
      </c>
      <c r="AL303" s="570">
        <f t="shared" si="31"/>
        <v>0</v>
      </c>
      <c r="AM303" s="570">
        <f t="shared" si="31"/>
        <v>0</v>
      </c>
      <c r="AN303" s="570">
        <f t="shared" si="31"/>
        <v>0</v>
      </c>
      <c r="AP303" s="570" t="str">
        <f>IF(AND($B96&lt;&gt;"(***)",OR($F96&lt;&gt;0,$H96&lt;&gt;0)),$B96,"")</f>
        <v/>
      </c>
      <c r="AQ303" s="570">
        <f t="shared" ref="AQ303:AV306" si="32">AQ96</f>
        <v>0</v>
      </c>
      <c r="AR303" s="570">
        <f t="shared" si="32"/>
        <v>0</v>
      </c>
      <c r="AS303" s="570">
        <f t="shared" si="32"/>
        <v>0</v>
      </c>
      <c r="AT303" s="570">
        <f t="shared" si="32"/>
        <v>0</v>
      </c>
      <c r="AU303" s="570">
        <f t="shared" si="32"/>
        <v>0</v>
      </c>
      <c r="AV303" s="570">
        <f t="shared" si="32"/>
        <v>0</v>
      </c>
      <c r="AX303" s="570" t="str">
        <f>IF(AND($B96&lt;&gt;"(***)",OR($F96&lt;&gt;0,$H96&lt;&gt;0)),$B96,"")</f>
        <v/>
      </c>
      <c r="AY303" s="570">
        <f t="shared" ref="AY303:BD306" si="33">AY96</f>
        <v>0</v>
      </c>
      <c r="AZ303" s="570">
        <f t="shared" si="33"/>
        <v>0</v>
      </c>
      <c r="BA303" s="570">
        <f t="shared" si="33"/>
        <v>0</v>
      </c>
      <c r="BB303" s="570">
        <f t="shared" si="33"/>
        <v>0</v>
      </c>
      <c r="BC303" s="570">
        <f t="shared" si="33"/>
        <v>0</v>
      </c>
      <c r="BD303" s="570">
        <f t="shared" si="33"/>
        <v>0</v>
      </c>
      <c r="BF303" s="570" t="str">
        <f>IF(AND($B96&lt;&gt;"(***)",OR($F96&lt;&gt;0,$H96&lt;&gt;0)),$B96,"")</f>
        <v/>
      </c>
      <c r="BG303" s="570">
        <f t="shared" ref="BG303:BL306" si="34">BG96</f>
        <v>0</v>
      </c>
      <c r="BH303" s="570">
        <f t="shared" si="34"/>
        <v>0</v>
      </c>
      <c r="BI303" s="570">
        <f t="shared" si="34"/>
        <v>0</v>
      </c>
      <c r="BJ303" s="570">
        <f t="shared" si="34"/>
        <v>0</v>
      </c>
      <c r="BK303" s="570">
        <f t="shared" si="34"/>
        <v>0</v>
      </c>
      <c r="BL303" s="570">
        <f t="shared" si="34"/>
        <v>0</v>
      </c>
      <c r="BN303" s="570" t="str">
        <f>IF(AND($B96&lt;&gt;"(***)",OR($F96&lt;&gt;0,$H96&lt;&gt;0)),$B96,"")</f>
        <v/>
      </c>
      <c r="BO303" s="570">
        <f t="shared" ref="BO303:BT306" si="35">BO96</f>
        <v>0</v>
      </c>
      <c r="BP303" s="570">
        <f t="shared" si="35"/>
        <v>0</v>
      </c>
      <c r="BQ303" s="570">
        <f t="shared" si="35"/>
        <v>0</v>
      </c>
      <c r="BR303" s="570">
        <f t="shared" si="35"/>
        <v>0</v>
      </c>
      <c r="BS303" s="570">
        <f t="shared" si="35"/>
        <v>0</v>
      </c>
      <c r="BT303" s="570">
        <f t="shared" si="35"/>
        <v>0</v>
      </c>
      <c r="BV303" s="570" t="str">
        <f>IF(AND($B96&lt;&gt;"(***)",OR($F96&lt;&gt;0,$H96&lt;&gt;0)),$B96,"")</f>
        <v/>
      </c>
      <c r="BW303" s="570">
        <f t="shared" ref="BW303:CB306" si="36">BW96</f>
        <v>0</v>
      </c>
      <c r="BX303" s="570">
        <f t="shared" si="36"/>
        <v>0</v>
      </c>
      <c r="BY303" s="570">
        <f t="shared" si="36"/>
        <v>0</v>
      </c>
      <c r="BZ303" s="570">
        <f t="shared" si="36"/>
        <v>0</v>
      </c>
      <c r="CA303" s="570">
        <f t="shared" si="36"/>
        <v>0</v>
      </c>
      <c r="CB303" s="570">
        <f t="shared" si="36"/>
        <v>0</v>
      </c>
      <c r="CD303" s="570" t="str">
        <f>IF(AND($B96&lt;&gt;"(***)",OR($F96&lt;&gt;0,$H96&lt;&gt;0)),$B96,"")</f>
        <v/>
      </c>
      <c r="CE303" s="570">
        <f t="shared" ref="CE303:CJ306" si="37">CE96</f>
        <v>0</v>
      </c>
      <c r="CF303" s="570">
        <f t="shared" si="37"/>
        <v>0</v>
      </c>
      <c r="CG303" s="570">
        <f t="shared" si="37"/>
        <v>0</v>
      </c>
      <c r="CH303" s="570">
        <f t="shared" si="37"/>
        <v>0</v>
      </c>
      <c r="CI303" s="570">
        <f t="shared" si="37"/>
        <v>0</v>
      </c>
      <c r="CJ303" s="570">
        <f t="shared" si="37"/>
        <v>0</v>
      </c>
      <c r="CL303" s="570" t="str">
        <f>IF(AND($B96&lt;&gt;"(***)",OR($F96&lt;&gt;0,$H96&lt;&gt;0)),$B96,"")</f>
        <v/>
      </c>
      <c r="CM303" s="570">
        <f t="shared" ref="CM303:CR306" si="38">CM96</f>
        <v>0</v>
      </c>
      <c r="CN303" s="570">
        <f t="shared" si="38"/>
        <v>0</v>
      </c>
      <c r="CO303" s="570">
        <f t="shared" si="38"/>
        <v>0</v>
      </c>
      <c r="CP303" s="570">
        <f t="shared" si="38"/>
        <v>0</v>
      </c>
      <c r="CQ303" s="570">
        <f t="shared" si="38"/>
        <v>0</v>
      </c>
      <c r="CR303" s="570">
        <f t="shared" si="38"/>
        <v>0</v>
      </c>
      <c r="CT303" s="570" t="str">
        <f>IF(AND($B96&lt;&gt;"(***)",OR($F96&lt;&gt;0,$H96&lt;&gt;0)),$B96,"")</f>
        <v/>
      </c>
      <c r="CU303" s="570">
        <f t="shared" ref="CU303:CZ306" si="39">CU96</f>
        <v>0</v>
      </c>
      <c r="CV303" s="570">
        <f t="shared" si="39"/>
        <v>0</v>
      </c>
      <c r="CW303" s="570">
        <f t="shared" si="39"/>
        <v>0</v>
      </c>
      <c r="CX303" s="570">
        <f t="shared" si="39"/>
        <v>0</v>
      </c>
      <c r="CY303" s="570">
        <f t="shared" si="39"/>
        <v>0</v>
      </c>
      <c r="CZ303" s="570">
        <f t="shared" si="39"/>
        <v>0</v>
      </c>
      <c r="DB303" s="570" t="str">
        <f>IF(AND($B96&lt;&gt;"(***)",OR($F96&lt;&gt;0,$H96&lt;&gt;0)),$B96,"")</f>
        <v/>
      </c>
      <c r="DC303" s="570">
        <f t="shared" ref="DC303:DH306" si="40">DC96</f>
        <v>0</v>
      </c>
      <c r="DD303" s="570">
        <f t="shared" si="40"/>
        <v>0</v>
      </c>
      <c r="DE303" s="570">
        <f t="shared" si="40"/>
        <v>0</v>
      </c>
      <c r="DF303" s="570">
        <f t="shared" si="40"/>
        <v>0</v>
      </c>
      <c r="DG303" s="570">
        <f t="shared" si="40"/>
        <v>0</v>
      </c>
      <c r="DH303" s="570">
        <f t="shared" si="40"/>
        <v>0</v>
      </c>
      <c r="DJ303" s="570" t="str">
        <f>IF(AND($B96&lt;&gt;"(***)",OR($F96&lt;&gt;0,$H96&lt;&gt;0)),$B96,"")</f>
        <v/>
      </c>
      <c r="DK303" s="570">
        <f t="shared" ref="DK303:DP306" si="41">DK96</f>
        <v>0</v>
      </c>
      <c r="DL303" s="570">
        <f t="shared" si="41"/>
        <v>0</v>
      </c>
      <c r="DM303" s="570">
        <f t="shared" si="41"/>
        <v>0</v>
      </c>
      <c r="DN303" s="570">
        <f t="shared" si="41"/>
        <v>0</v>
      </c>
      <c r="DO303" s="570">
        <f t="shared" si="41"/>
        <v>0</v>
      </c>
      <c r="DP303" s="570">
        <f t="shared" si="41"/>
        <v>0</v>
      </c>
      <c r="DR303" s="570" t="str">
        <f>IF(AND($B96&lt;&gt;"(***)",OR($F96&lt;&gt;0,$H96&lt;&gt;0)),$B96,"")</f>
        <v/>
      </c>
      <c r="DS303" s="570">
        <f t="shared" ref="DS303:DX306" si="42">DS96</f>
        <v>0</v>
      </c>
      <c r="DT303" s="570">
        <f t="shared" si="42"/>
        <v>0</v>
      </c>
      <c r="DU303" s="570">
        <f t="shared" si="42"/>
        <v>0</v>
      </c>
      <c r="DV303" s="570">
        <f t="shared" si="42"/>
        <v>0</v>
      </c>
      <c r="DW303" s="570">
        <f t="shared" si="42"/>
        <v>0</v>
      </c>
      <c r="DX303" s="570">
        <f t="shared" si="42"/>
        <v>0</v>
      </c>
      <c r="DZ303" s="570" t="str">
        <f>IF(AND($B96&lt;&gt;"(***)",OR($F96&lt;&gt;0,$H96&lt;&gt;0)),$B96,"")</f>
        <v/>
      </c>
      <c r="EA303" s="570">
        <f t="shared" ref="EA303:EF306" si="43">EA96</f>
        <v>0</v>
      </c>
      <c r="EB303" s="570">
        <f t="shared" si="43"/>
        <v>0</v>
      </c>
      <c r="EC303" s="570">
        <f t="shared" si="43"/>
        <v>0</v>
      </c>
      <c r="ED303" s="570">
        <f t="shared" si="43"/>
        <v>0</v>
      </c>
      <c r="EE303" s="570">
        <f t="shared" si="43"/>
        <v>0</v>
      </c>
      <c r="EF303" s="570">
        <f t="shared" si="43"/>
        <v>0</v>
      </c>
      <c r="EH303" s="570" t="str">
        <f>IF(AND($B96&lt;&gt;"(***)",OR($F96&lt;&gt;0,$H96&lt;&gt;0)),$B96,"")</f>
        <v/>
      </c>
      <c r="EI303" s="570">
        <f t="shared" ref="EI303:EN306" si="44">EI96</f>
        <v>0</v>
      </c>
      <c r="EJ303" s="570">
        <f t="shared" si="44"/>
        <v>0</v>
      </c>
      <c r="EK303" s="570">
        <f t="shared" si="44"/>
        <v>0</v>
      </c>
      <c r="EL303" s="570">
        <f t="shared" si="44"/>
        <v>0</v>
      </c>
      <c r="EM303" s="570">
        <f t="shared" si="44"/>
        <v>0</v>
      </c>
      <c r="EN303" s="570">
        <f t="shared" si="44"/>
        <v>0</v>
      </c>
      <c r="EP303" s="570" t="str">
        <f>IF(AND($B96&lt;&gt;"(***)",OR($F96&lt;&gt;0,$H96&lt;&gt;0)),$B96,"")</f>
        <v/>
      </c>
      <c r="EQ303" s="570">
        <f t="shared" ref="EQ303:EV306" si="45">EQ96</f>
        <v>0</v>
      </c>
      <c r="ER303" s="570">
        <f t="shared" si="45"/>
        <v>0</v>
      </c>
      <c r="ES303" s="570">
        <f t="shared" si="45"/>
        <v>0</v>
      </c>
      <c r="ET303" s="570">
        <f t="shared" si="45"/>
        <v>0</v>
      </c>
      <c r="EU303" s="570">
        <f t="shared" si="45"/>
        <v>0</v>
      </c>
      <c r="EV303" s="570">
        <f t="shared" si="45"/>
        <v>0</v>
      </c>
      <c r="EX303" s="570" t="str">
        <f>IF(AND($B96&lt;&gt;"(***)",OR($F96&lt;&gt;0,$H96&lt;&gt;0)),$B96,"")</f>
        <v/>
      </c>
      <c r="EY303" s="570">
        <f t="shared" ref="EY303:FD306" si="46">EY96</f>
        <v>0</v>
      </c>
      <c r="EZ303" s="570">
        <f t="shared" si="46"/>
        <v>0</v>
      </c>
      <c r="FA303" s="570">
        <f t="shared" si="46"/>
        <v>0</v>
      </c>
      <c r="FB303" s="570">
        <f t="shared" si="46"/>
        <v>0</v>
      </c>
      <c r="FC303" s="570">
        <f t="shared" si="46"/>
        <v>0</v>
      </c>
      <c r="FD303" s="570">
        <f t="shared" si="46"/>
        <v>0</v>
      </c>
      <c r="FF303" s="570" t="str">
        <f>IF(AND($B96&lt;&gt;"(***)",OR($F96&lt;&gt;0,$H96&lt;&gt;0)),$B96,"")</f>
        <v/>
      </c>
      <c r="FG303" s="570">
        <f t="shared" ref="FG303:FL306" si="47">FG96</f>
        <v>0</v>
      </c>
      <c r="FH303" s="570">
        <f t="shared" si="47"/>
        <v>0</v>
      </c>
      <c r="FI303" s="570">
        <f t="shared" si="47"/>
        <v>0</v>
      </c>
      <c r="FJ303" s="570">
        <f t="shared" si="47"/>
        <v>0</v>
      </c>
      <c r="FK303" s="570">
        <f t="shared" si="47"/>
        <v>0</v>
      </c>
      <c r="FL303" s="570">
        <f t="shared" si="47"/>
        <v>0</v>
      </c>
      <c r="FN303" s="570" t="str">
        <f>IF(AND($B96&lt;&gt;"(***)",OR($F96&lt;&gt;0,$H96&lt;&gt;0)),$B96,"")</f>
        <v/>
      </c>
      <c r="FO303" s="570">
        <f t="shared" ref="FO303:FT306" si="48">FO96</f>
        <v>0</v>
      </c>
      <c r="FP303" s="570">
        <f t="shared" si="48"/>
        <v>0</v>
      </c>
      <c r="FQ303" s="570">
        <f t="shared" si="48"/>
        <v>0</v>
      </c>
      <c r="FR303" s="570">
        <f t="shared" si="48"/>
        <v>0</v>
      </c>
      <c r="FS303" s="570">
        <f t="shared" si="48"/>
        <v>0</v>
      </c>
      <c r="FT303" s="570">
        <f t="shared" si="48"/>
        <v>0</v>
      </c>
      <c r="FV303" s="570" t="str">
        <f>IF(AND($B96&lt;&gt;"(***)",OR($F96&lt;&gt;0,$H96&lt;&gt;0)),$B96,"")</f>
        <v/>
      </c>
      <c r="FW303" s="570">
        <f t="shared" ref="FW303:GB306" si="49">FW96</f>
        <v>0</v>
      </c>
      <c r="FX303" s="570">
        <f t="shared" si="49"/>
        <v>0</v>
      </c>
      <c r="FY303" s="570">
        <f t="shared" si="49"/>
        <v>0</v>
      </c>
      <c r="FZ303" s="570">
        <f t="shared" si="49"/>
        <v>0</v>
      </c>
      <c r="GA303" s="570">
        <f t="shared" si="49"/>
        <v>0</v>
      </c>
      <c r="GB303" s="570">
        <f t="shared" si="49"/>
        <v>0</v>
      </c>
      <c r="GD303" s="570" t="str">
        <f>IF(AND($B96&lt;&gt;"(***)",OR($F96&lt;&gt;0,$H96&lt;&gt;0)),$B96,"")</f>
        <v/>
      </c>
      <c r="GE303" s="570">
        <f t="shared" ref="GE303:GJ306" si="50">GE96</f>
        <v>0</v>
      </c>
      <c r="GF303" s="570">
        <f t="shared" si="50"/>
        <v>0</v>
      </c>
      <c r="GG303" s="570">
        <f t="shared" si="50"/>
        <v>0</v>
      </c>
      <c r="GH303" s="570">
        <f t="shared" si="50"/>
        <v>0</v>
      </c>
      <c r="GI303" s="570">
        <f t="shared" si="50"/>
        <v>0</v>
      </c>
      <c r="GJ303" s="570">
        <f t="shared" si="50"/>
        <v>0</v>
      </c>
      <c r="GL303" s="570" t="str">
        <f>IF(AND($B96&lt;&gt;"(***)",OR($F96&lt;&gt;0,$H96&lt;&gt;0)),$B96,"")</f>
        <v/>
      </c>
      <c r="GM303" s="570">
        <f t="shared" ref="GM303:GR306" si="51">GM96</f>
        <v>0</v>
      </c>
      <c r="GN303" s="570">
        <f t="shared" si="51"/>
        <v>0</v>
      </c>
      <c r="GO303" s="570">
        <f t="shared" si="51"/>
        <v>0</v>
      </c>
      <c r="GP303" s="570">
        <f t="shared" si="51"/>
        <v>0</v>
      </c>
      <c r="GQ303" s="570">
        <f t="shared" si="51"/>
        <v>0</v>
      </c>
      <c r="GR303" s="570">
        <f t="shared" si="51"/>
        <v>0</v>
      </c>
      <c r="GT303" s="570" t="str">
        <f>IF(AND($B96&lt;&gt;"(***)",OR($F96&lt;&gt;0,$H96&lt;&gt;0)),$B96,"")</f>
        <v/>
      </c>
      <c r="GU303" s="570">
        <f t="shared" ref="GU303:GZ306" si="52">GU96</f>
        <v>0</v>
      </c>
      <c r="GV303" s="570">
        <f t="shared" si="52"/>
        <v>0</v>
      </c>
      <c r="GW303" s="570">
        <f t="shared" si="52"/>
        <v>0</v>
      </c>
      <c r="GX303" s="570">
        <f t="shared" si="52"/>
        <v>0</v>
      </c>
      <c r="GY303" s="570">
        <f t="shared" si="52"/>
        <v>0</v>
      </c>
      <c r="GZ303" s="570">
        <f t="shared" si="52"/>
        <v>0</v>
      </c>
      <c r="HB303" s="570" t="str">
        <f>IF(AND($B96&lt;&gt;"(***)",OR($F96&lt;&gt;0,$H96&lt;&gt;0)),$B96,"")</f>
        <v/>
      </c>
      <c r="HC303" s="570">
        <f t="shared" ref="HC303:HH306" si="53">HC96</f>
        <v>0</v>
      </c>
      <c r="HD303" s="570">
        <f t="shared" si="53"/>
        <v>0</v>
      </c>
      <c r="HE303" s="570">
        <f t="shared" si="53"/>
        <v>0</v>
      </c>
      <c r="HF303" s="570">
        <f t="shared" si="53"/>
        <v>0</v>
      </c>
      <c r="HG303" s="570">
        <f t="shared" si="53"/>
        <v>0</v>
      </c>
      <c r="HH303" s="570">
        <f t="shared" si="53"/>
        <v>0</v>
      </c>
      <c r="HJ303" s="570" t="str">
        <f>IF(AND($B96&lt;&gt;"(***)",OR($F96&lt;&gt;0,$H96&lt;&gt;0)),$B96,"")</f>
        <v/>
      </c>
      <c r="HK303" s="570">
        <f t="shared" ref="HK303:HP306" si="54">HK96</f>
        <v>0</v>
      </c>
      <c r="HL303" s="570">
        <f t="shared" si="54"/>
        <v>0</v>
      </c>
      <c r="HM303" s="570">
        <f t="shared" si="54"/>
        <v>0</v>
      </c>
      <c r="HN303" s="570">
        <f t="shared" si="54"/>
        <v>0</v>
      </c>
      <c r="HO303" s="570">
        <f t="shared" si="54"/>
        <v>0</v>
      </c>
      <c r="HP303" s="570">
        <f t="shared" si="54"/>
        <v>0</v>
      </c>
      <c r="HR303" s="570" t="str">
        <f>IF(AND($B96&lt;&gt;"(***)",OR($F96&lt;&gt;0,$H96&lt;&gt;0)),$B96,"")</f>
        <v/>
      </c>
      <c r="HS303" s="570">
        <f t="shared" ref="HS303:HX306" si="55">HS96</f>
        <v>0</v>
      </c>
      <c r="HT303" s="570">
        <f t="shared" si="55"/>
        <v>0</v>
      </c>
      <c r="HU303" s="570">
        <f t="shared" si="55"/>
        <v>0</v>
      </c>
      <c r="HV303" s="570">
        <f t="shared" si="55"/>
        <v>0</v>
      </c>
      <c r="HW303" s="570">
        <f t="shared" si="55"/>
        <v>0</v>
      </c>
      <c r="HX303" s="570">
        <f t="shared" si="55"/>
        <v>0</v>
      </c>
      <c r="HZ303" s="570" t="str">
        <f>IF(AND($B96&lt;&gt;"(***)",OR($F96&lt;&gt;0,$H96&lt;&gt;0)),$B96,"")</f>
        <v/>
      </c>
      <c r="IA303" s="570">
        <f t="shared" ref="IA303:IF306" si="56">IA96</f>
        <v>0</v>
      </c>
      <c r="IB303" s="570">
        <f t="shared" si="56"/>
        <v>0</v>
      </c>
      <c r="IC303" s="570">
        <f t="shared" si="56"/>
        <v>0</v>
      </c>
      <c r="ID303" s="570">
        <f t="shared" si="56"/>
        <v>0</v>
      </c>
      <c r="IE303" s="570">
        <f t="shared" si="56"/>
        <v>0</v>
      </c>
      <c r="IF303" s="570">
        <f t="shared" si="56"/>
        <v>0</v>
      </c>
      <c r="IH303" s="570" t="str">
        <f>IF(AND($B96&lt;&gt;"(***)",OR($F96&lt;&gt;0,$H96&lt;&gt;0)),$B96,"")</f>
        <v/>
      </c>
      <c r="II303" s="570">
        <f t="shared" ref="II303:IN305" si="57">II96</f>
        <v>0</v>
      </c>
      <c r="IJ303" s="570">
        <f t="shared" si="57"/>
        <v>0</v>
      </c>
      <c r="IK303" s="570">
        <f t="shared" si="57"/>
        <v>0</v>
      </c>
      <c r="IL303" s="570">
        <f t="shared" si="57"/>
        <v>0</v>
      </c>
      <c r="IM303" s="570">
        <f t="shared" si="57"/>
        <v>0</v>
      </c>
      <c r="IN303" s="570">
        <f t="shared" si="57"/>
        <v>0</v>
      </c>
      <c r="IP303" s="570" t="str">
        <f>IF(AND($B96&lt;&gt;"(***)",OR($F96&lt;&gt;0,$H96&lt;&gt;0)),$B96,"")</f>
        <v/>
      </c>
      <c r="IQ303" s="570">
        <f t="shared" ref="IQ303:IV303" si="58">IQ96</f>
        <v>0</v>
      </c>
      <c r="IR303" s="570">
        <f t="shared" si="58"/>
        <v>0</v>
      </c>
      <c r="IS303" s="570">
        <f t="shared" si="58"/>
        <v>0</v>
      </c>
      <c r="IT303" s="570">
        <f t="shared" si="58"/>
        <v>0</v>
      </c>
      <c r="IU303" s="570">
        <f t="shared" si="58"/>
        <v>0</v>
      </c>
      <c r="IV303" s="570">
        <f t="shared" si="58"/>
        <v>0</v>
      </c>
    </row>
    <row r="304" spans="2:256" ht="13.8" thickBot="1">
      <c r="B304" s="627" t="str">
        <f>IF(AND($F299=0,$H299=0,$F300=0,$H300=0,$F301=0,$H301=0,$F302=0,$H302=0,$F303=0,$H303=0),"",B97)</f>
        <v/>
      </c>
      <c r="C304" s="615">
        <f t="shared" si="27"/>
        <v>0</v>
      </c>
      <c r="D304" s="570">
        <f t="shared" si="27"/>
        <v>0</v>
      </c>
      <c r="E304" s="570">
        <f t="shared" si="27"/>
        <v>0</v>
      </c>
      <c r="F304" s="633">
        <f t="shared" si="27"/>
        <v>0</v>
      </c>
      <c r="G304" s="631">
        <f t="shared" si="27"/>
        <v>0</v>
      </c>
      <c r="H304" s="633">
        <f t="shared" si="27"/>
        <v>0</v>
      </c>
      <c r="K304" s="570">
        <f t="shared" si="28"/>
        <v>0</v>
      </c>
      <c r="L304" s="570">
        <f t="shared" si="28"/>
        <v>0</v>
      </c>
      <c r="M304" s="570">
        <f t="shared" si="28"/>
        <v>0</v>
      </c>
      <c r="N304" s="570">
        <f t="shared" si="28"/>
        <v>0</v>
      </c>
      <c r="O304" s="570">
        <f t="shared" si="28"/>
        <v>0</v>
      </c>
      <c r="P304" s="570">
        <f t="shared" si="28"/>
        <v>0</v>
      </c>
      <c r="R304" s="570" t="str">
        <f>IF(AND($B97&lt;&gt;"(***)",OR($F97&lt;&gt;0,$H97&lt;&gt;0)),$B97,"")</f>
        <v/>
      </c>
      <c r="S304" s="570">
        <f t="shared" si="29"/>
        <v>0</v>
      </c>
      <c r="T304" s="570">
        <f t="shared" si="29"/>
        <v>0</v>
      </c>
      <c r="U304" s="570">
        <f t="shared" si="29"/>
        <v>0</v>
      </c>
      <c r="V304" s="570">
        <f t="shared" si="29"/>
        <v>0</v>
      </c>
      <c r="W304" s="570">
        <f t="shared" si="29"/>
        <v>0</v>
      </c>
      <c r="X304" s="570">
        <f t="shared" si="29"/>
        <v>0</v>
      </c>
      <c r="Z304" s="570" t="str">
        <f>IF(AND($B97&lt;&gt;"(***)",OR($F97&lt;&gt;0,$H97&lt;&gt;0)),$B97,"")</f>
        <v/>
      </c>
      <c r="AA304" s="570">
        <f t="shared" si="30"/>
        <v>0</v>
      </c>
      <c r="AB304" s="570">
        <f t="shared" si="30"/>
        <v>0</v>
      </c>
      <c r="AC304" s="570">
        <f t="shared" si="30"/>
        <v>0</v>
      </c>
      <c r="AD304" s="570">
        <f t="shared" si="30"/>
        <v>0</v>
      </c>
      <c r="AE304" s="570">
        <f t="shared" si="30"/>
        <v>0</v>
      </c>
      <c r="AF304" s="570">
        <f t="shared" si="30"/>
        <v>0</v>
      </c>
      <c r="AH304" s="570" t="str">
        <f>IF(AND($B97&lt;&gt;"(***)",OR($F97&lt;&gt;0,$H97&lt;&gt;0)),$B97,"")</f>
        <v/>
      </c>
      <c r="AI304" s="570">
        <f t="shared" si="31"/>
        <v>0</v>
      </c>
      <c r="AJ304" s="570">
        <f t="shared" si="31"/>
        <v>0</v>
      </c>
      <c r="AK304" s="570">
        <f t="shared" si="31"/>
        <v>0</v>
      </c>
      <c r="AL304" s="570">
        <f t="shared" si="31"/>
        <v>0</v>
      </c>
      <c r="AM304" s="570">
        <f t="shared" si="31"/>
        <v>0</v>
      </c>
      <c r="AN304" s="570">
        <f t="shared" si="31"/>
        <v>0</v>
      </c>
      <c r="AP304" s="570" t="str">
        <f>IF(AND($B97&lt;&gt;"(***)",OR($F97&lt;&gt;0,$H97&lt;&gt;0)),$B97,"")</f>
        <v/>
      </c>
      <c r="AQ304" s="570">
        <f t="shared" si="32"/>
        <v>0</v>
      </c>
      <c r="AR304" s="570">
        <f t="shared" si="32"/>
        <v>0</v>
      </c>
      <c r="AS304" s="570">
        <f t="shared" si="32"/>
        <v>0</v>
      </c>
      <c r="AT304" s="570">
        <f t="shared" si="32"/>
        <v>0</v>
      </c>
      <c r="AU304" s="570">
        <f t="shared" si="32"/>
        <v>0</v>
      </c>
      <c r="AV304" s="570">
        <f t="shared" si="32"/>
        <v>0</v>
      </c>
      <c r="AX304" s="570" t="str">
        <f>IF(AND($B97&lt;&gt;"(***)",OR($F97&lt;&gt;0,$H97&lt;&gt;0)),$B97,"")</f>
        <v/>
      </c>
      <c r="AY304" s="570">
        <f t="shared" si="33"/>
        <v>0</v>
      </c>
      <c r="AZ304" s="570">
        <f t="shared" si="33"/>
        <v>0</v>
      </c>
      <c r="BA304" s="570">
        <f t="shared" si="33"/>
        <v>0</v>
      </c>
      <c r="BB304" s="570">
        <f t="shared" si="33"/>
        <v>0</v>
      </c>
      <c r="BC304" s="570">
        <f t="shared" si="33"/>
        <v>0</v>
      </c>
      <c r="BD304" s="570">
        <f t="shared" si="33"/>
        <v>0</v>
      </c>
      <c r="BF304" s="570" t="str">
        <f>IF(AND($B97&lt;&gt;"(***)",OR($F97&lt;&gt;0,$H97&lt;&gt;0)),$B97,"")</f>
        <v/>
      </c>
      <c r="BG304" s="570">
        <f t="shared" si="34"/>
        <v>0</v>
      </c>
      <c r="BH304" s="570">
        <f t="shared" si="34"/>
        <v>0</v>
      </c>
      <c r="BI304" s="570">
        <f t="shared" si="34"/>
        <v>0</v>
      </c>
      <c r="BJ304" s="570">
        <f t="shared" si="34"/>
        <v>0</v>
      </c>
      <c r="BK304" s="570">
        <f t="shared" si="34"/>
        <v>0</v>
      </c>
      <c r="BL304" s="570">
        <f t="shared" si="34"/>
        <v>0</v>
      </c>
      <c r="BN304" s="570" t="str">
        <f>IF(AND($B97&lt;&gt;"(***)",OR($F97&lt;&gt;0,$H97&lt;&gt;0)),$B97,"")</f>
        <v/>
      </c>
      <c r="BO304" s="570">
        <f t="shared" si="35"/>
        <v>0</v>
      </c>
      <c r="BP304" s="570">
        <f t="shared" si="35"/>
        <v>0</v>
      </c>
      <c r="BQ304" s="570">
        <f t="shared" si="35"/>
        <v>0</v>
      </c>
      <c r="BR304" s="570">
        <f t="shared" si="35"/>
        <v>0</v>
      </c>
      <c r="BS304" s="570">
        <f t="shared" si="35"/>
        <v>0</v>
      </c>
      <c r="BT304" s="570">
        <f t="shared" si="35"/>
        <v>0</v>
      </c>
      <c r="BV304" s="570" t="str">
        <f>IF(AND($B97&lt;&gt;"(***)",OR($F97&lt;&gt;0,$H97&lt;&gt;0)),$B97,"")</f>
        <v/>
      </c>
      <c r="BW304" s="570">
        <f t="shared" si="36"/>
        <v>0</v>
      </c>
      <c r="BX304" s="570">
        <f t="shared" si="36"/>
        <v>0</v>
      </c>
      <c r="BY304" s="570">
        <f t="shared" si="36"/>
        <v>0</v>
      </c>
      <c r="BZ304" s="570">
        <f t="shared" si="36"/>
        <v>0</v>
      </c>
      <c r="CA304" s="570">
        <f t="shared" si="36"/>
        <v>0</v>
      </c>
      <c r="CB304" s="570">
        <f t="shared" si="36"/>
        <v>0</v>
      </c>
      <c r="CD304" s="570" t="str">
        <f>IF(AND($B97&lt;&gt;"(***)",OR($F97&lt;&gt;0,$H97&lt;&gt;0)),$B97,"")</f>
        <v/>
      </c>
      <c r="CE304" s="570">
        <f t="shared" si="37"/>
        <v>0</v>
      </c>
      <c r="CF304" s="570">
        <f t="shared" si="37"/>
        <v>0</v>
      </c>
      <c r="CG304" s="570">
        <f t="shared" si="37"/>
        <v>0</v>
      </c>
      <c r="CH304" s="570">
        <f t="shared" si="37"/>
        <v>0</v>
      </c>
      <c r="CI304" s="570">
        <f t="shared" si="37"/>
        <v>0</v>
      </c>
      <c r="CJ304" s="570">
        <f t="shared" si="37"/>
        <v>0</v>
      </c>
      <c r="CL304" s="570" t="str">
        <f>IF(AND($B97&lt;&gt;"(***)",OR($F97&lt;&gt;0,$H97&lt;&gt;0)),$B97,"")</f>
        <v/>
      </c>
      <c r="CM304" s="570">
        <f t="shared" si="38"/>
        <v>0</v>
      </c>
      <c r="CN304" s="570">
        <f t="shared" si="38"/>
        <v>0</v>
      </c>
      <c r="CO304" s="570">
        <f t="shared" si="38"/>
        <v>0</v>
      </c>
      <c r="CP304" s="570">
        <f t="shared" si="38"/>
        <v>0</v>
      </c>
      <c r="CQ304" s="570">
        <f t="shared" si="38"/>
        <v>0</v>
      </c>
      <c r="CR304" s="570">
        <f t="shared" si="38"/>
        <v>0</v>
      </c>
      <c r="CT304" s="570" t="str">
        <f>IF(AND($B97&lt;&gt;"(***)",OR($F97&lt;&gt;0,$H97&lt;&gt;0)),$B97,"")</f>
        <v/>
      </c>
      <c r="CU304" s="570">
        <f t="shared" si="39"/>
        <v>0</v>
      </c>
      <c r="CV304" s="570">
        <f t="shared" si="39"/>
        <v>0</v>
      </c>
      <c r="CW304" s="570">
        <f t="shared" si="39"/>
        <v>0</v>
      </c>
      <c r="CX304" s="570">
        <f t="shared" si="39"/>
        <v>0</v>
      </c>
      <c r="CY304" s="570">
        <f t="shared" si="39"/>
        <v>0</v>
      </c>
      <c r="CZ304" s="570">
        <f t="shared" si="39"/>
        <v>0</v>
      </c>
      <c r="DB304" s="570" t="str">
        <f>IF(AND($B97&lt;&gt;"(***)",OR($F97&lt;&gt;0,$H97&lt;&gt;0)),$B97,"")</f>
        <v/>
      </c>
      <c r="DC304" s="570">
        <f t="shared" si="40"/>
        <v>0</v>
      </c>
      <c r="DD304" s="570">
        <f t="shared" si="40"/>
        <v>0</v>
      </c>
      <c r="DE304" s="570">
        <f t="shared" si="40"/>
        <v>0</v>
      </c>
      <c r="DF304" s="570">
        <f t="shared" si="40"/>
        <v>0</v>
      </c>
      <c r="DG304" s="570">
        <f t="shared" si="40"/>
        <v>0</v>
      </c>
      <c r="DH304" s="570">
        <f t="shared" si="40"/>
        <v>0</v>
      </c>
      <c r="DJ304" s="570" t="str">
        <f>IF(AND($B97&lt;&gt;"(***)",OR($F97&lt;&gt;0,$H97&lt;&gt;0)),$B97,"")</f>
        <v/>
      </c>
      <c r="DK304" s="570">
        <f t="shared" si="41"/>
        <v>0</v>
      </c>
      <c r="DL304" s="570">
        <f t="shared" si="41"/>
        <v>0</v>
      </c>
      <c r="DM304" s="570">
        <f t="shared" si="41"/>
        <v>0</v>
      </c>
      <c r="DN304" s="570">
        <f t="shared" si="41"/>
        <v>0</v>
      </c>
      <c r="DO304" s="570">
        <f t="shared" si="41"/>
        <v>0</v>
      </c>
      <c r="DP304" s="570">
        <f t="shared" si="41"/>
        <v>0</v>
      </c>
      <c r="DR304" s="570" t="str">
        <f>IF(AND($B97&lt;&gt;"(***)",OR($F97&lt;&gt;0,$H97&lt;&gt;0)),$B97,"")</f>
        <v/>
      </c>
      <c r="DS304" s="570">
        <f t="shared" si="42"/>
        <v>0</v>
      </c>
      <c r="DT304" s="570">
        <f t="shared" si="42"/>
        <v>0</v>
      </c>
      <c r="DU304" s="570">
        <f t="shared" si="42"/>
        <v>0</v>
      </c>
      <c r="DV304" s="570">
        <f t="shared" si="42"/>
        <v>0</v>
      </c>
      <c r="DW304" s="570">
        <f t="shared" si="42"/>
        <v>0</v>
      </c>
      <c r="DX304" s="570">
        <f t="shared" si="42"/>
        <v>0</v>
      </c>
      <c r="DZ304" s="570" t="str">
        <f>IF(AND($B97&lt;&gt;"(***)",OR($F97&lt;&gt;0,$H97&lt;&gt;0)),$B97,"")</f>
        <v/>
      </c>
      <c r="EA304" s="570">
        <f t="shared" si="43"/>
        <v>0</v>
      </c>
      <c r="EB304" s="570">
        <f t="shared" si="43"/>
        <v>0</v>
      </c>
      <c r="EC304" s="570">
        <f t="shared" si="43"/>
        <v>0</v>
      </c>
      <c r="ED304" s="570">
        <f t="shared" si="43"/>
        <v>0</v>
      </c>
      <c r="EE304" s="570">
        <f t="shared" si="43"/>
        <v>0</v>
      </c>
      <c r="EF304" s="570">
        <f t="shared" si="43"/>
        <v>0</v>
      </c>
      <c r="EH304" s="570" t="str">
        <f>IF(AND($B97&lt;&gt;"(***)",OR($F97&lt;&gt;0,$H97&lt;&gt;0)),$B97,"")</f>
        <v/>
      </c>
      <c r="EI304" s="570">
        <f t="shared" si="44"/>
        <v>0</v>
      </c>
      <c r="EJ304" s="570">
        <f t="shared" si="44"/>
        <v>0</v>
      </c>
      <c r="EK304" s="570">
        <f t="shared" si="44"/>
        <v>0</v>
      </c>
      <c r="EL304" s="570">
        <f t="shared" si="44"/>
        <v>0</v>
      </c>
      <c r="EM304" s="570">
        <f t="shared" si="44"/>
        <v>0</v>
      </c>
      <c r="EN304" s="570">
        <f t="shared" si="44"/>
        <v>0</v>
      </c>
      <c r="EP304" s="570" t="str">
        <f>IF(AND($B97&lt;&gt;"(***)",OR($F97&lt;&gt;0,$H97&lt;&gt;0)),$B97,"")</f>
        <v/>
      </c>
      <c r="EQ304" s="570">
        <f t="shared" si="45"/>
        <v>0</v>
      </c>
      <c r="ER304" s="570">
        <f t="shared" si="45"/>
        <v>0</v>
      </c>
      <c r="ES304" s="570">
        <f t="shared" si="45"/>
        <v>0</v>
      </c>
      <c r="ET304" s="570">
        <f t="shared" si="45"/>
        <v>0</v>
      </c>
      <c r="EU304" s="570">
        <f t="shared" si="45"/>
        <v>0</v>
      </c>
      <c r="EV304" s="570">
        <f t="shared" si="45"/>
        <v>0</v>
      </c>
      <c r="EX304" s="570" t="str">
        <f>IF(AND($B97&lt;&gt;"(***)",OR($F97&lt;&gt;0,$H97&lt;&gt;0)),$B97,"")</f>
        <v/>
      </c>
      <c r="EY304" s="570">
        <f t="shared" si="46"/>
        <v>0</v>
      </c>
      <c r="EZ304" s="570">
        <f t="shared" si="46"/>
        <v>0</v>
      </c>
      <c r="FA304" s="570">
        <f t="shared" si="46"/>
        <v>0</v>
      </c>
      <c r="FB304" s="570">
        <f t="shared" si="46"/>
        <v>0</v>
      </c>
      <c r="FC304" s="570">
        <f t="shared" si="46"/>
        <v>0</v>
      </c>
      <c r="FD304" s="570">
        <f t="shared" si="46"/>
        <v>0</v>
      </c>
      <c r="FF304" s="570" t="str">
        <f>IF(AND($B97&lt;&gt;"(***)",OR($F97&lt;&gt;0,$H97&lt;&gt;0)),$B97,"")</f>
        <v/>
      </c>
      <c r="FG304" s="570">
        <f t="shared" si="47"/>
        <v>0</v>
      </c>
      <c r="FH304" s="570">
        <f t="shared" si="47"/>
        <v>0</v>
      </c>
      <c r="FI304" s="570">
        <f t="shared" si="47"/>
        <v>0</v>
      </c>
      <c r="FJ304" s="570">
        <f t="shared" si="47"/>
        <v>0</v>
      </c>
      <c r="FK304" s="570">
        <f t="shared" si="47"/>
        <v>0</v>
      </c>
      <c r="FL304" s="570">
        <f t="shared" si="47"/>
        <v>0</v>
      </c>
      <c r="FN304" s="570" t="str">
        <f>IF(AND($B97&lt;&gt;"(***)",OR($F97&lt;&gt;0,$H97&lt;&gt;0)),$B97,"")</f>
        <v/>
      </c>
      <c r="FO304" s="570">
        <f t="shared" si="48"/>
        <v>0</v>
      </c>
      <c r="FP304" s="570">
        <f t="shared" si="48"/>
        <v>0</v>
      </c>
      <c r="FQ304" s="570">
        <f t="shared" si="48"/>
        <v>0</v>
      </c>
      <c r="FR304" s="570">
        <f t="shared" si="48"/>
        <v>0</v>
      </c>
      <c r="FS304" s="570">
        <f t="shared" si="48"/>
        <v>0</v>
      </c>
      <c r="FT304" s="570">
        <f t="shared" si="48"/>
        <v>0</v>
      </c>
      <c r="FV304" s="570" t="str">
        <f>IF(AND($B97&lt;&gt;"(***)",OR($F97&lt;&gt;0,$H97&lt;&gt;0)),$B97,"")</f>
        <v/>
      </c>
      <c r="FW304" s="570">
        <f t="shared" si="49"/>
        <v>0</v>
      </c>
      <c r="FX304" s="570">
        <f t="shared" si="49"/>
        <v>0</v>
      </c>
      <c r="FY304" s="570">
        <f t="shared" si="49"/>
        <v>0</v>
      </c>
      <c r="FZ304" s="570">
        <f t="shared" si="49"/>
        <v>0</v>
      </c>
      <c r="GA304" s="570">
        <f t="shared" si="49"/>
        <v>0</v>
      </c>
      <c r="GB304" s="570">
        <f t="shared" si="49"/>
        <v>0</v>
      </c>
      <c r="GD304" s="570" t="str">
        <f>IF(AND($B97&lt;&gt;"(***)",OR($F97&lt;&gt;0,$H97&lt;&gt;0)),$B97,"")</f>
        <v/>
      </c>
      <c r="GE304" s="570">
        <f t="shared" si="50"/>
        <v>0</v>
      </c>
      <c r="GF304" s="570">
        <f t="shared" si="50"/>
        <v>0</v>
      </c>
      <c r="GG304" s="570">
        <f t="shared" si="50"/>
        <v>0</v>
      </c>
      <c r="GH304" s="570">
        <f t="shared" si="50"/>
        <v>0</v>
      </c>
      <c r="GI304" s="570">
        <f t="shared" si="50"/>
        <v>0</v>
      </c>
      <c r="GJ304" s="570">
        <f t="shared" si="50"/>
        <v>0</v>
      </c>
      <c r="GL304" s="570" t="str">
        <f>IF(AND($B97&lt;&gt;"(***)",OR($F97&lt;&gt;0,$H97&lt;&gt;0)),$B97,"")</f>
        <v/>
      </c>
      <c r="GM304" s="570">
        <f t="shared" si="51"/>
        <v>0</v>
      </c>
      <c r="GN304" s="570">
        <f t="shared" si="51"/>
        <v>0</v>
      </c>
      <c r="GO304" s="570">
        <f t="shared" si="51"/>
        <v>0</v>
      </c>
      <c r="GP304" s="570">
        <f t="shared" si="51"/>
        <v>0</v>
      </c>
      <c r="GQ304" s="570">
        <f t="shared" si="51"/>
        <v>0</v>
      </c>
      <c r="GR304" s="570">
        <f t="shared" si="51"/>
        <v>0</v>
      </c>
      <c r="GT304" s="570" t="str">
        <f>IF(AND($B97&lt;&gt;"(***)",OR($F97&lt;&gt;0,$H97&lt;&gt;0)),$B97,"")</f>
        <v/>
      </c>
      <c r="GU304" s="570">
        <f t="shared" si="52"/>
        <v>0</v>
      </c>
      <c r="GV304" s="570">
        <f t="shared" si="52"/>
        <v>0</v>
      </c>
      <c r="GW304" s="570">
        <f t="shared" si="52"/>
        <v>0</v>
      </c>
      <c r="GX304" s="570">
        <f t="shared" si="52"/>
        <v>0</v>
      </c>
      <c r="GY304" s="570">
        <f t="shared" si="52"/>
        <v>0</v>
      </c>
      <c r="GZ304" s="570">
        <f t="shared" si="52"/>
        <v>0</v>
      </c>
      <c r="HB304" s="570" t="str">
        <f>IF(AND($B97&lt;&gt;"(***)",OR($F97&lt;&gt;0,$H97&lt;&gt;0)),$B97,"")</f>
        <v/>
      </c>
      <c r="HC304" s="570">
        <f t="shared" si="53"/>
        <v>0</v>
      </c>
      <c r="HD304" s="570">
        <f t="shared" si="53"/>
        <v>0</v>
      </c>
      <c r="HE304" s="570">
        <f t="shared" si="53"/>
        <v>0</v>
      </c>
      <c r="HF304" s="570">
        <f t="shared" si="53"/>
        <v>0</v>
      </c>
      <c r="HG304" s="570">
        <f t="shared" si="53"/>
        <v>0</v>
      </c>
      <c r="HH304" s="570">
        <f t="shared" si="53"/>
        <v>0</v>
      </c>
      <c r="HJ304" s="570" t="str">
        <f>IF(AND($B97&lt;&gt;"(***)",OR($F97&lt;&gt;0,$H97&lt;&gt;0)),$B97,"")</f>
        <v/>
      </c>
      <c r="HK304" s="570">
        <f t="shared" si="54"/>
        <v>0</v>
      </c>
      <c r="HL304" s="570">
        <f t="shared" si="54"/>
        <v>0</v>
      </c>
      <c r="HM304" s="570">
        <f t="shared" si="54"/>
        <v>0</v>
      </c>
      <c r="HN304" s="570">
        <f t="shared" si="54"/>
        <v>0</v>
      </c>
      <c r="HO304" s="570">
        <f t="shared" si="54"/>
        <v>0</v>
      </c>
      <c r="HP304" s="570">
        <f t="shared" si="54"/>
        <v>0</v>
      </c>
      <c r="HR304" s="570" t="str">
        <f>IF(AND($B97&lt;&gt;"(***)",OR($F97&lt;&gt;0,$H97&lt;&gt;0)),$B97,"")</f>
        <v/>
      </c>
      <c r="HS304" s="570">
        <f t="shared" si="55"/>
        <v>0</v>
      </c>
      <c r="HT304" s="570">
        <f t="shared" si="55"/>
        <v>0</v>
      </c>
      <c r="HU304" s="570">
        <f t="shared" si="55"/>
        <v>0</v>
      </c>
      <c r="HV304" s="570">
        <f t="shared" si="55"/>
        <v>0</v>
      </c>
      <c r="HW304" s="570">
        <f t="shared" si="55"/>
        <v>0</v>
      </c>
      <c r="HX304" s="570">
        <f t="shared" si="55"/>
        <v>0</v>
      </c>
      <c r="HZ304" s="570" t="str">
        <f>IF(AND($B97&lt;&gt;"(***)",OR($F97&lt;&gt;0,$H97&lt;&gt;0)),$B97,"")</f>
        <v/>
      </c>
      <c r="IA304" s="570">
        <f t="shared" si="56"/>
        <v>0</v>
      </c>
      <c r="IB304" s="570">
        <f t="shared" si="56"/>
        <v>0</v>
      </c>
      <c r="IC304" s="570">
        <f t="shared" si="56"/>
        <v>0</v>
      </c>
      <c r="ID304" s="570">
        <f t="shared" si="56"/>
        <v>0</v>
      </c>
      <c r="IE304" s="570">
        <f t="shared" si="56"/>
        <v>0</v>
      </c>
      <c r="IF304" s="570">
        <f t="shared" si="56"/>
        <v>0</v>
      </c>
      <c r="IH304" s="570" t="str">
        <f>IF(AND($B97&lt;&gt;"(***)",OR($F97&lt;&gt;0,$H97&lt;&gt;0)),$B97,"")</f>
        <v/>
      </c>
      <c r="II304" s="570">
        <f t="shared" si="57"/>
        <v>0</v>
      </c>
      <c r="IJ304" s="570">
        <f t="shared" si="57"/>
        <v>0</v>
      </c>
      <c r="IK304" s="570">
        <f t="shared" si="57"/>
        <v>0</v>
      </c>
      <c r="IL304" s="570">
        <f t="shared" si="57"/>
        <v>0</v>
      </c>
      <c r="IM304" s="570">
        <f t="shared" si="57"/>
        <v>0</v>
      </c>
      <c r="IN304" s="570">
        <f t="shared" si="57"/>
        <v>0</v>
      </c>
      <c r="IP304" s="570" t="str">
        <f>IF(AND($B97&lt;&gt;"(***)",OR($F97&lt;&gt;0,$H97&lt;&gt;0)),$B97,"")</f>
        <v/>
      </c>
      <c r="IQ304" s="570">
        <f t="shared" ref="IQ304:IV304" si="59">IQ97</f>
        <v>0</v>
      </c>
      <c r="IR304" s="570">
        <f t="shared" si="59"/>
        <v>0</v>
      </c>
      <c r="IS304" s="570">
        <f t="shared" si="59"/>
        <v>0</v>
      </c>
      <c r="IT304" s="570">
        <f t="shared" si="59"/>
        <v>0</v>
      </c>
      <c r="IU304" s="570">
        <f t="shared" si="59"/>
        <v>0</v>
      </c>
      <c r="IV304" s="570">
        <f t="shared" si="59"/>
        <v>0</v>
      </c>
    </row>
    <row r="305" spans="2:256" ht="13.8" thickTop="1">
      <c r="B305" s="615" t="str">
        <f>IF(AND($F98=0,$H98=0),"",$B98)</f>
        <v/>
      </c>
      <c r="C305" s="615">
        <f t="shared" si="27"/>
        <v>0</v>
      </c>
      <c r="D305" s="570">
        <f t="shared" si="27"/>
        <v>0</v>
      </c>
      <c r="E305" s="570">
        <f t="shared" si="27"/>
        <v>0</v>
      </c>
      <c r="F305" s="616">
        <f t="shared" si="27"/>
        <v>0</v>
      </c>
      <c r="G305" s="570">
        <f t="shared" si="27"/>
        <v>0</v>
      </c>
      <c r="H305" s="616">
        <f t="shared" si="27"/>
        <v>0</v>
      </c>
      <c r="J305" s="570" t="str">
        <f>IF(AND($F98=0,$H98=0),"",$B98)</f>
        <v/>
      </c>
      <c r="K305" s="570">
        <f t="shared" si="28"/>
        <v>0</v>
      </c>
      <c r="L305" s="570">
        <f t="shared" si="28"/>
        <v>0</v>
      </c>
      <c r="M305" s="570">
        <f t="shared" si="28"/>
        <v>0</v>
      </c>
      <c r="N305" s="570">
        <f t="shared" si="28"/>
        <v>0</v>
      </c>
      <c r="O305" s="570">
        <f t="shared" si="28"/>
        <v>0</v>
      </c>
      <c r="P305" s="570">
        <f t="shared" si="28"/>
        <v>0</v>
      </c>
      <c r="R305" s="570" t="str">
        <f>IF(AND($F98=0,$H98=0),"",$B98)</f>
        <v/>
      </c>
      <c r="S305" s="570">
        <f t="shared" si="29"/>
        <v>0</v>
      </c>
      <c r="T305" s="570">
        <f t="shared" si="29"/>
        <v>0</v>
      </c>
      <c r="U305" s="570">
        <f t="shared" si="29"/>
        <v>0</v>
      </c>
      <c r="V305" s="570">
        <f t="shared" si="29"/>
        <v>0</v>
      </c>
      <c r="W305" s="570">
        <f t="shared" si="29"/>
        <v>0</v>
      </c>
      <c r="X305" s="570">
        <f t="shared" si="29"/>
        <v>0</v>
      </c>
      <c r="Z305" s="570" t="str">
        <f>IF(AND($F98=0,$H98=0),"",$B98)</f>
        <v/>
      </c>
      <c r="AA305" s="570">
        <f t="shared" si="30"/>
        <v>0</v>
      </c>
      <c r="AB305" s="570">
        <f t="shared" si="30"/>
        <v>0</v>
      </c>
      <c r="AC305" s="570">
        <f t="shared" si="30"/>
        <v>0</v>
      </c>
      <c r="AD305" s="570">
        <f t="shared" si="30"/>
        <v>0</v>
      </c>
      <c r="AE305" s="570">
        <f t="shared" si="30"/>
        <v>0</v>
      </c>
      <c r="AF305" s="570">
        <f t="shared" si="30"/>
        <v>0</v>
      </c>
      <c r="AH305" s="570" t="str">
        <f>IF(AND($F98=0,$H98=0),"",$B98)</f>
        <v/>
      </c>
      <c r="AI305" s="570">
        <f t="shared" si="31"/>
        <v>0</v>
      </c>
      <c r="AJ305" s="570">
        <f t="shared" si="31"/>
        <v>0</v>
      </c>
      <c r="AK305" s="570">
        <f t="shared" si="31"/>
        <v>0</v>
      </c>
      <c r="AL305" s="570">
        <f t="shared" si="31"/>
        <v>0</v>
      </c>
      <c r="AM305" s="570">
        <f t="shared" si="31"/>
        <v>0</v>
      </c>
      <c r="AN305" s="570">
        <f t="shared" si="31"/>
        <v>0</v>
      </c>
      <c r="AP305" s="570" t="str">
        <f>IF(AND($F98=0,$H98=0),"",$B98)</f>
        <v/>
      </c>
      <c r="AQ305" s="570">
        <f t="shared" si="32"/>
        <v>0</v>
      </c>
      <c r="AR305" s="570">
        <f t="shared" si="32"/>
        <v>0</v>
      </c>
      <c r="AS305" s="570">
        <f t="shared" si="32"/>
        <v>0</v>
      </c>
      <c r="AT305" s="570">
        <f t="shared" si="32"/>
        <v>0</v>
      </c>
      <c r="AU305" s="570">
        <f t="shared" si="32"/>
        <v>0</v>
      </c>
      <c r="AV305" s="570">
        <f t="shared" si="32"/>
        <v>0</v>
      </c>
      <c r="AX305" s="570" t="str">
        <f>IF(AND($F98=0,$H98=0),"",$B98)</f>
        <v/>
      </c>
      <c r="AY305" s="570">
        <f t="shared" si="33"/>
        <v>0</v>
      </c>
      <c r="AZ305" s="570">
        <f t="shared" si="33"/>
        <v>0</v>
      </c>
      <c r="BA305" s="570">
        <f t="shared" si="33"/>
        <v>0</v>
      </c>
      <c r="BB305" s="570">
        <f t="shared" si="33"/>
        <v>0</v>
      </c>
      <c r="BC305" s="570">
        <f t="shared" si="33"/>
        <v>0</v>
      </c>
      <c r="BD305" s="570">
        <f t="shared" si="33"/>
        <v>0</v>
      </c>
      <c r="BF305" s="570" t="str">
        <f>IF(AND($F98=0,$H98=0),"",$B98)</f>
        <v/>
      </c>
      <c r="BG305" s="570">
        <f t="shared" si="34"/>
        <v>0</v>
      </c>
      <c r="BH305" s="570">
        <f t="shared" si="34"/>
        <v>0</v>
      </c>
      <c r="BI305" s="570">
        <f t="shared" si="34"/>
        <v>0</v>
      </c>
      <c r="BJ305" s="570">
        <f t="shared" si="34"/>
        <v>0</v>
      </c>
      <c r="BK305" s="570">
        <f t="shared" si="34"/>
        <v>0</v>
      </c>
      <c r="BL305" s="570">
        <f t="shared" si="34"/>
        <v>0</v>
      </c>
      <c r="BN305" s="570" t="str">
        <f>IF(AND($F98=0,$H98=0),"",$B98)</f>
        <v/>
      </c>
      <c r="BO305" s="570">
        <f t="shared" si="35"/>
        <v>0</v>
      </c>
      <c r="BP305" s="570">
        <f t="shared" si="35"/>
        <v>0</v>
      </c>
      <c r="BQ305" s="570">
        <f t="shared" si="35"/>
        <v>0</v>
      </c>
      <c r="BR305" s="570">
        <f t="shared" si="35"/>
        <v>0</v>
      </c>
      <c r="BS305" s="570">
        <f t="shared" si="35"/>
        <v>0</v>
      </c>
      <c r="BT305" s="570">
        <f t="shared" si="35"/>
        <v>0</v>
      </c>
      <c r="BV305" s="570" t="str">
        <f>IF(AND($F98=0,$H98=0),"",$B98)</f>
        <v/>
      </c>
      <c r="BW305" s="570">
        <f t="shared" si="36"/>
        <v>0</v>
      </c>
      <c r="BX305" s="570">
        <f t="shared" si="36"/>
        <v>0</v>
      </c>
      <c r="BY305" s="570">
        <f t="shared" si="36"/>
        <v>0</v>
      </c>
      <c r="BZ305" s="570">
        <f t="shared" si="36"/>
        <v>0</v>
      </c>
      <c r="CA305" s="570">
        <f t="shared" si="36"/>
        <v>0</v>
      </c>
      <c r="CB305" s="570">
        <f t="shared" si="36"/>
        <v>0</v>
      </c>
      <c r="CD305" s="570" t="str">
        <f>IF(AND($F98=0,$H98=0),"",$B98)</f>
        <v/>
      </c>
      <c r="CE305" s="570">
        <f t="shared" si="37"/>
        <v>0</v>
      </c>
      <c r="CF305" s="570">
        <f t="shared" si="37"/>
        <v>0</v>
      </c>
      <c r="CG305" s="570">
        <f t="shared" si="37"/>
        <v>0</v>
      </c>
      <c r="CH305" s="570">
        <f t="shared" si="37"/>
        <v>0</v>
      </c>
      <c r="CI305" s="570">
        <f t="shared" si="37"/>
        <v>0</v>
      </c>
      <c r="CJ305" s="570">
        <f t="shared" si="37"/>
        <v>0</v>
      </c>
      <c r="CL305" s="570" t="str">
        <f>IF(AND($F98=0,$H98=0),"",$B98)</f>
        <v/>
      </c>
      <c r="CM305" s="570">
        <f t="shared" si="38"/>
        <v>0</v>
      </c>
      <c r="CN305" s="570">
        <f t="shared" si="38"/>
        <v>0</v>
      </c>
      <c r="CO305" s="570">
        <f t="shared" si="38"/>
        <v>0</v>
      </c>
      <c r="CP305" s="570">
        <f t="shared" si="38"/>
        <v>0</v>
      </c>
      <c r="CQ305" s="570">
        <f t="shared" si="38"/>
        <v>0</v>
      </c>
      <c r="CR305" s="570">
        <f t="shared" si="38"/>
        <v>0</v>
      </c>
      <c r="CT305" s="570" t="str">
        <f>IF(AND($F98=0,$H98=0),"",$B98)</f>
        <v/>
      </c>
      <c r="CU305" s="570">
        <f t="shared" si="39"/>
        <v>0</v>
      </c>
      <c r="CV305" s="570">
        <f t="shared" si="39"/>
        <v>0</v>
      </c>
      <c r="CW305" s="570">
        <f t="shared" si="39"/>
        <v>0</v>
      </c>
      <c r="CX305" s="570">
        <f t="shared" si="39"/>
        <v>0</v>
      </c>
      <c r="CY305" s="570">
        <f t="shared" si="39"/>
        <v>0</v>
      </c>
      <c r="CZ305" s="570">
        <f t="shared" si="39"/>
        <v>0</v>
      </c>
      <c r="DB305" s="570" t="str">
        <f>IF(AND($F98=0,$H98=0),"",$B98)</f>
        <v/>
      </c>
      <c r="DC305" s="570">
        <f t="shared" si="40"/>
        <v>0</v>
      </c>
      <c r="DD305" s="570">
        <f t="shared" si="40"/>
        <v>0</v>
      </c>
      <c r="DE305" s="570">
        <f t="shared" si="40"/>
        <v>0</v>
      </c>
      <c r="DF305" s="570">
        <f t="shared" si="40"/>
        <v>0</v>
      </c>
      <c r="DG305" s="570">
        <f t="shared" si="40"/>
        <v>0</v>
      </c>
      <c r="DH305" s="570">
        <f t="shared" si="40"/>
        <v>0</v>
      </c>
      <c r="DJ305" s="570" t="str">
        <f>IF(AND($F98=0,$H98=0),"",$B98)</f>
        <v/>
      </c>
      <c r="DK305" s="570">
        <f t="shared" si="41"/>
        <v>0</v>
      </c>
      <c r="DL305" s="570">
        <f t="shared" si="41"/>
        <v>0</v>
      </c>
      <c r="DM305" s="570">
        <f t="shared" si="41"/>
        <v>0</v>
      </c>
      <c r="DN305" s="570">
        <f t="shared" si="41"/>
        <v>0</v>
      </c>
      <c r="DO305" s="570">
        <f t="shared" si="41"/>
        <v>0</v>
      </c>
      <c r="DP305" s="570">
        <f t="shared" si="41"/>
        <v>0</v>
      </c>
      <c r="DR305" s="570" t="str">
        <f>IF(AND($F98=0,$H98=0),"",$B98)</f>
        <v/>
      </c>
      <c r="DS305" s="570">
        <f t="shared" si="42"/>
        <v>0</v>
      </c>
      <c r="DT305" s="570">
        <f t="shared" si="42"/>
        <v>0</v>
      </c>
      <c r="DU305" s="570">
        <f t="shared" si="42"/>
        <v>0</v>
      </c>
      <c r="DV305" s="570">
        <f t="shared" si="42"/>
        <v>0</v>
      </c>
      <c r="DW305" s="570">
        <f t="shared" si="42"/>
        <v>0</v>
      </c>
      <c r="DX305" s="570">
        <f t="shared" si="42"/>
        <v>0</v>
      </c>
      <c r="DZ305" s="570" t="str">
        <f>IF(AND($F98=0,$H98=0),"",$B98)</f>
        <v/>
      </c>
      <c r="EA305" s="570">
        <f t="shared" si="43"/>
        <v>0</v>
      </c>
      <c r="EB305" s="570">
        <f t="shared" si="43"/>
        <v>0</v>
      </c>
      <c r="EC305" s="570">
        <f t="shared" si="43"/>
        <v>0</v>
      </c>
      <c r="ED305" s="570">
        <f t="shared" si="43"/>
        <v>0</v>
      </c>
      <c r="EE305" s="570">
        <f t="shared" si="43"/>
        <v>0</v>
      </c>
      <c r="EF305" s="570">
        <f t="shared" si="43"/>
        <v>0</v>
      </c>
      <c r="EH305" s="570" t="str">
        <f>IF(AND($F98=0,$H98=0),"",$B98)</f>
        <v/>
      </c>
      <c r="EI305" s="570">
        <f t="shared" si="44"/>
        <v>0</v>
      </c>
      <c r="EJ305" s="570">
        <f t="shared" si="44"/>
        <v>0</v>
      </c>
      <c r="EK305" s="570">
        <f t="shared" si="44"/>
        <v>0</v>
      </c>
      <c r="EL305" s="570">
        <f t="shared" si="44"/>
        <v>0</v>
      </c>
      <c r="EM305" s="570">
        <f t="shared" si="44"/>
        <v>0</v>
      </c>
      <c r="EN305" s="570">
        <f t="shared" si="44"/>
        <v>0</v>
      </c>
      <c r="EP305" s="570" t="str">
        <f>IF(AND($F98=0,$H98=0),"",$B98)</f>
        <v/>
      </c>
      <c r="EQ305" s="570">
        <f t="shared" si="45"/>
        <v>0</v>
      </c>
      <c r="ER305" s="570">
        <f t="shared" si="45"/>
        <v>0</v>
      </c>
      <c r="ES305" s="570">
        <f t="shared" si="45"/>
        <v>0</v>
      </c>
      <c r="ET305" s="570">
        <f t="shared" si="45"/>
        <v>0</v>
      </c>
      <c r="EU305" s="570">
        <f t="shared" si="45"/>
        <v>0</v>
      </c>
      <c r="EV305" s="570">
        <f t="shared" si="45"/>
        <v>0</v>
      </c>
      <c r="EX305" s="570" t="str">
        <f>IF(AND($F98=0,$H98=0),"",$B98)</f>
        <v/>
      </c>
      <c r="EY305" s="570">
        <f t="shared" si="46"/>
        <v>0</v>
      </c>
      <c r="EZ305" s="570">
        <f t="shared" si="46"/>
        <v>0</v>
      </c>
      <c r="FA305" s="570">
        <f t="shared" si="46"/>
        <v>0</v>
      </c>
      <c r="FB305" s="570">
        <f t="shared" si="46"/>
        <v>0</v>
      </c>
      <c r="FC305" s="570">
        <f t="shared" si="46"/>
        <v>0</v>
      </c>
      <c r="FD305" s="570">
        <f t="shared" si="46"/>
        <v>0</v>
      </c>
      <c r="FF305" s="570" t="str">
        <f>IF(AND($F98=0,$H98=0),"",$B98)</f>
        <v/>
      </c>
      <c r="FG305" s="570">
        <f t="shared" si="47"/>
        <v>0</v>
      </c>
      <c r="FH305" s="570">
        <f t="shared" si="47"/>
        <v>0</v>
      </c>
      <c r="FI305" s="570">
        <f t="shared" si="47"/>
        <v>0</v>
      </c>
      <c r="FJ305" s="570">
        <f t="shared" si="47"/>
        <v>0</v>
      </c>
      <c r="FK305" s="570">
        <f t="shared" si="47"/>
        <v>0</v>
      </c>
      <c r="FL305" s="570">
        <f t="shared" si="47"/>
        <v>0</v>
      </c>
      <c r="FN305" s="570" t="str">
        <f>IF(AND($F98=0,$H98=0),"",$B98)</f>
        <v/>
      </c>
      <c r="FO305" s="570">
        <f t="shared" si="48"/>
        <v>0</v>
      </c>
      <c r="FP305" s="570">
        <f t="shared" si="48"/>
        <v>0</v>
      </c>
      <c r="FQ305" s="570">
        <f t="shared" si="48"/>
        <v>0</v>
      </c>
      <c r="FR305" s="570">
        <f t="shared" si="48"/>
        <v>0</v>
      </c>
      <c r="FS305" s="570">
        <f t="shared" si="48"/>
        <v>0</v>
      </c>
      <c r="FT305" s="570">
        <f t="shared" si="48"/>
        <v>0</v>
      </c>
      <c r="FV305" s="570" t="str">
        <f>IF(AND($F98=0,$H98=0),"",$B98)</f>
        <v/>
      </c>
      <c r="FW305" s="570">
        <f t="shared" si="49"/>
        <v>0</v>
      </c>
      <c r="FX305" s="570">
        <f t="shared" si="49"/>
        <v>0</v>
      </c>
      <c r="FY305" s="570">
        <f t="shared" si="49"/>
        <v>0</v>
      </c>
      <c r="FZ305" s="570">
        <f t="shared" si="49"/>
        <v>0</v>
      </c>
      <c r="GA305" s="570">
        <f t="shared" si="49"/>
        <v>0</v>
      </c>
      <c r="GB305" s="570">
        <f t="shared" si="49"/>
        <v>0</v>
      </c>
      <c r="GD305" s="570" t="str">
        <f>IF(AND($F98=0,$H98=0),"",$B98)</f>
        <v/>
      </c>
      <c r="GE305" s="570">
        <f t="shared" si="50"/>
        <v>0</v>
      </c>
      <c r="GF305" s="570">
        <f t="shared" si="50"/>
        <v>0</v>
      </c>
      <c r="GG305" s="570">
        <f t="shared" si="50"/>
        <v>0</v>
      </c>
      <c r="GH305" s="570">
        <f t="shared" si="50"/>
        <v>0</v>
      </c>
      <c r="GI305" s="570">
        <f t="shared" si="50"/>
        <v>0</v>
      </c>
      <c r="GJ305" s="570">
        <f t="shared" si="50"/>
        <v>0</v>
      </c>
      <c r="GL305" s="570" t="str">
        <f>IF(AND($F98=0,$H98=0),"",$B98)</f>
        <v/>
      </c>
      <c r="GM305" s="570">
        <f t="shared" si="51"/>
        <v>0</v>
      </c>
      <c r="GN305" s="570">
        <f t="shared" si="51"/>
        <v>0</v>
      </c>
      <c r="GO305" s="570">
        <f t="shared" si="51"/>
        <v>0</v>
      </c>
      <c r="GP305" s="570">
        <f t="shared" si="51"/>
        <v>0</v>
      </c>
      <c r="GQ305" s="570">
        <f t="shared" si="51"/>
        <v>0</v>
      </c>
      <c r="GR305" s="570">
        <f t="shared" si="51"/>
        <v>0</v>
      </c>
      <c r="GT305" s="570" t="str">
        <f>IF(AND($F98=0,$H98=0),"",$B98)</f>
        <v/>
      </c>
      <c r="GU305" s="570">
        <f t="shared" si="52"/>
        <v>0</v>
      </c>
      <c r="GV305" s="570">
        <f t="shared" si="52"/>
        <v>0</v>
      </c>
      <c r="GW305" s="570">
        <f t="shared" si="52"/>
        <v>0</v>
      </c>
      <c r="GX305" s="570">
        <f t="shared" si="52"/>
        <v>0</v>
      </c>
      <c r="GY305" s="570">
        <f t="shared" si="52"/>
        <v>0</v>
      </c>
      <c r="GZ305" s="570">
        <f t="shared" si="52"/>
        <v>0</v>
      </c>
      <c r="HB305" s="570" t="str">
        <f>IF(AND($F98=0,$H98=0),"",$B98)</f>
        <v/>
      </c>
      <c r="HC305" s="570">
        <f t="shared" si="53"/>
        <v>0</v>
      </c>
      <c r="HD305" s="570">
        <f t="shared" si="53"/>
        <v>0</v>
      </c>
      <c r="HE305" s="570">
        <f t="shared" si="53"/>
        <v>0</v>
      </c>
      <c r="HF305" s="570">
        <f t="shared" si="53"/>
        <v>0</v>
      </c>
      <c r="HG305" s="570">
        <f t="shared" si="53"/>
        <v>0</v>
      </c>
      <c r="HH305" s="570">
        <f t="shared" si="53"/>
        <v>0</v>
      </c>
      <c r="HJ305" s="570" t="str">
        <f>IF(AND($F98=0,$H98=0),"",$B98)</f>
        <v/>
      </c>
      <c r="HK305" s="570">
        <f t="shared" si="54"/>
        <v>0</v>
      </c>
      <c r="HL305" s="570">
        <f t="shared" si="54"/>
        <v>0</v>
      </c>
      <c r="HM305" s="570">
        <f t="shared" si="54"/>
        <v>0</v>
      </c>
      <c r="HN305" s="570">
        <f t="shared" si="54"/>
        <v>0</v>
      </c>
      <c r="HO305" s="570">
        <f t="shared" si="54"/>
        <v>0</v>
      </c>
      <c r="HP305" s="570">
        <f t="shared" si="54"/>
        <v>0</v>
      </c>
      <c r="HR305" s="570" t="str">
        <f>IF(AND($F98=0,$H98=0),"",$B98)</f>
        <v/>
      </c>
      <c r="HS305" s="570">
        <f t="shared" si="55"/>
        <v>0</v>
      </c>
      <c r="HT305" s="570">
        <f t="shared" si="55"/>
        <v>0</v>
      </c>
      <c r="HU305" s="570">
        <f t="shared" si="55"/>
        <v>0</v>
      </c>
      <c r="HV305" s="570">
        <f t="shared" si="55"/>
        <v>0</v>
      </c>
      <c r="HW305" s="570">
        <f t="shared" si="55"/>
        <v>0</v>
      </c>
      <c r="HX305" s="570">
        <f t="shared" si="55"/>
        <v>0</v>
      </c>
      <c r="HZ305" s="570" t="str">
        <f>IF(AND($F98=0,$H98=0),"",$B98)</f>
        <v/>
      </c>
      <c r="IA305" s="570">
        <f t="shared" si="56"/>
        <v>0</v>
      </c>
      <c r="IB305" s="570">
        <f t="shared" si="56"/>
        <v>0</v>
      </c>
      <c r="IC305" s="570">
        <f t="shared" si="56"/>
        <v>0</v>
      </c>
      <c r="ID305" s="570">
        <f t="shared" si="56"/>
        <v>0</v>
      </c>
      <c r="IE305" s="570">
        <f t="shared" si="56"/>
        <v>0</v>
      </c>
      <c r="IF305" s="570">
        <f t="shared" si="56"/>
        <v>0</v>
      </c>
      <c r="IH305" s="570" t="str">
        <f>IF(AND($F98=0,$H98=0),"",$B98)</f>
        <v/>
      </c>
      <c r="II305" s="570">
        <f t="shared" si="57"/>
        <v>0</v>
      </c>
      <c r="IJ305" s="570">
        <f t="shared" si="57"/>
        <v>0</v>
      </c>
      <c r="IK305" s="570">
        <f t="shared" si="57"/>
        <v>0</v>
      </c>
      <c r="IL305" s="570">
        <f t="shared" si="57"/>
        <v>0</v>
      </c>
      <c r="IM305" s="570">
        <f t="shared" si="57"/>
        <v>0</v>
      </c>
      <c r="IN305" s="570">
        <f t="shared" si="57"/>
        <v>0</v>
      </c>
      <c r="IP305" s="570" t="str">
        <f>IF(AND($F98=0,$H98=0),"",$B98)</f>
        <v/>
      </c>
      <c r="IQ305" s="570">
        <f t="shared" ref="IQ305:IV305" si="60">IQ98</f>
        <v>0</v>
      </c>
      <c r="IR305" s="570">
        <f t="shared" si="60"/>
        <v>0</v>
      </c>
      <c r="IS305" s="570">
        <f t="shared" si="60"/>
        <v>0</v>
      </c>
      <c r="IT305" s="570">
        <f t="shared" si="60"/>
        <v>0</v>
      </c>
      <c r="IU305" s="570">
        <f t="shared" si="60"/>
        <v>0</v>
      </c>
      <c r="IV305" s="570">
        <f t="shared" si="60"/>
        <v>0</v>
      </c>
    </row>
    <row r="306" spans="2:256">
      <c r="B306" s="615" t="str">
        <f>B99</f>
        <v>גידול בקרן לעבודות פיתוח שנה קודמת</v>
      </c>
      <c r="C306" s="615">
        <f t="shared" si="27"/>
        <v>0</v>
      </c>
      <c r="D306" s="570">
        <f t="shared" si="27"/>
        <v>0</v>
      </c>
      <c r="E306" s="570">
        <f t="shared" si="27"/>
        <v>0</v>
      </c>
      <c r="F306" s="616">
        <f t="shared" si="27"/>
        <v>49773</v>
      </c>
      <c r="G306" s="570">
        <f t="shared" si="27"/>
        <v>0</v>
      </c>
      <c r="H306" s="616">
        <f t="shared" si="27"/>
        <v>0</v>
      </c>
      <c r="J306" s="570">
        <f>J99</f>
        <v>0</v>
      </c>
      <c r="K306" s="570">
        <f t="shared" si="28"/>
        <v>0</v>
      </c>
      <c r="L306" s="570">
        <f t="shared" si="28"/>
        <v>0</v>
      </c>
      <c r="M306" s="570">
        <f t="shared" si="28"/>
        <v>0</v>
      </c>
      <c r="N306" s="570">
        <f t="shared" si="28"/>
        <v>0</v>
      </c>
      <c r="O306" s="570">
        <f t="shared" si="28"/>
        <v>0</v>
      </c>
      <c r="P306" s="570">
        <f t="shared" si="28"/>
        <v>0</v>
      </c>
      <c r="R306" s="570">
        <f>R99</f>
        <v>0</v>
      </c>
      <c r="S306" s="570">
        <f t="shared" si="29"/>
        <v>0</v>
      </c>
      <c r="T306" s="570">
        <f t="shared" si="29"/>
        <v>0</v>
      </c>
      <c r="U306" s="570">
        <f t="shared" si="29"/>
        <v>0</v>
      </c>
      <c r="V306" s="570">
        <f t="shared" si="29"/>
        <v>0</v>
      </c>
      <c r="W306" s="570">
        <f t="shared" si="29"/>
        <v>0</v>
      </c>
      <c r="X306" s="570">
        <f t="shared" si="29"/>
        <v>0</v>
      </c>
      <c r="Z306" s="570">
        <f>Z99</f>
        <v>0</v>
      </c>
      <c r="AA306" s="570">
        <f t="shared" si="30"/>
        <v>0</v>
      </c>
      <c r="AB306" s="570">
        <f t="shared" si="30"/>
        <v>0</v>
      </c>
      <c r="AC306" s="570">
        <f t="shared" si="30"/>
        <v>0</v>
      </c>
      <c r="AD306" s="570">
        <f t="shared" si="30"/>
        <v>0</v>
      </c>
      <c r="AE306" s="570">
        <f t="shared" si="30"/>
        <v>0</v>
      </c>
      <c r="AF306" s="570">
        <f t="shared" si="30"/>
        <v>0</v>
      </c>
      <c r="AH306" s="570">
        <f>AH99</f>
        <v>0</v>
      </c>
      <c r="AI306" s="570">
        <f t="shared" si="31"/>
        <v>0</v>
      </c>
      <c r="AJ306" s="570">
        <f t="shared" si="31"/>
        <v>0</v>
      </c>
      <c r="AK306" s="570">
        <f t="shared" si="31"/>
        <v>0</v>
      </c>
      <c r="AL306" s="570">
        <f t="shared" si="31"/>
        <v>0</v>
      </c>
      <c r="AM306" s="570">
        <f t="shared" si="31"/>
        <v>0</v>
      </c>
      <c r="AN306" s="570">
        <f t="shared" si="31"/>
        <v>0</v>
      </c>
      <c r="AP306" s="570">
        <f>AP99</f>
        <v>0</v>
      </c>
      <c r="AQ306" s="570">
        <f t="shared" si="32"/>
        <v>0</v>
      </c>
      <c r="AR306" s="570">
        <f t="shared" si="32"/>
        <v>0</v>
      </c>
      <c r="AS306" s="570">
        <f t="shared" si="32"/>
        <v>0</v>
      </c>
      <c r="AT306" s="570">
        <f t="shared" si="32"/>
        <v>0</v>
      </c>
      <c r="AU306" s="570">
        <f t="shared" si="32"/>
        <v>0</v>
      </c>
      <c r="AV306" s="570">
        <f t="shared" si="32"/>
        <v>0</v>
      </c>
      <c r="AX306" s="570">
        <f>AX99</f>
        <v>0</v>
      </c>
      <c r="AY306" s="570">
        <f t="shared" si="33"/>
        <v>0</v>
      </c>
      <c r="AZ306" s="570">
        <f t="shared" si="33"/>
        <v>0</v>
      </c>
      <c r="BA306" s="570">
        <f t="shared" si="33"/>
        <v>0</v>
      </c>
      <c r="BB306" s="570">
        <f t="shared" si="33"/>
        <v>0</v>
      </c>
      <c r="BC306" s="570">
        <f t="shared" si="33"/>
        <v>0</v>
      </c>
      <c r="BD306" s="570">
        <f t="shared" si="33"/>
        <v>0</v>
      </c>
      <c r="BF306" s="570">
        <f>BF99</f>
        <v>0</v>
      </c>
      <c r="BG306" s="570">
        <f t="shared" si="34"/>
        <v>0</v>
      </c>
      <c r="BH306" s="570">
        <f t="shared" si="34"/>
        <v>0</v>
      </c>
      <c r="BI306" s="570">
        <f t="shared" si="34"/>
        <v>0</v>
      </c>
      <c r="BJ306" s="570">
        <f t="shared" si="34"/>
        <v>0</v>
      </c>
      <c r="BK306" s="570">
        <f t="shared" si="34"/>
        <v>0</v>
      </c>
      <c r="BL306" s="570">
        <f t="shared" si="34"/>
        <v>0</v>
      </c>
      <c r="BN306" s="570">
        <f>BN99</f>
        <v>0</v>
      </c>
      <c r="BO306" s="570">
        <f t="shared" si="35"/>
        <v>0</v>
      </c>
      <c r="BP306" s="570">
        <f t="shared" si="35"/>
        <v>0</v>
      </c>
      <c r="BQ306" s="570">
        <f t="shared" si="35"/>
        <v>0</v>
      </c>
      <c r="BR306" s="570">
        <f t="shared" si="35"/>
        <v>0</v>
      </c>
      <c r="BS306" s="570">
        <f t="shared" si="35"/>
        <v>0</v>
      </c>
      <c r="BT306" s="570">
        <f t="shared" si="35"/>
        <v>0</v>
      </c>
      <c r="BV306" s="570">
        <f>BV99</f>
        <v>0</v>
      </c>
      <c r="BW306" s="570">
        <f t="shared" si="36"/>
        <v>0</v>
      </c>
      <c r="BX306" s="570">
        <f t="shared" si="36"/>
        <v>0</v>
      </c>
      <c r="BY306" s="570">
        <f t="shared" si="36"/>
        <v>0</v>
      </c>
      <c r="BZ306" s="570">
        <f t="shared" si="36"/>
        <v>0</v>
      </c>
      <c r="CA306" s="570">
        <f t="shared" si="36"/>
        <v>0</v>
      </c>
      <c r="CB306" s="570">
        <f t="shared" si="36"/>
        <v>0</v>
      </c>
      <c r="CD306" s="570">
        <f>CD99</f>
        <v>0</v>
      </c>
      <c r="CE306" s="570">
        <f t="shared" si="37"/>
        <v>0</v>
      </c>
      <c r="CF306" s="570">
        <f t="shared" si="37"/>
        <v>0</v>
      </c>
      <c r="CG306" s="570">
        <f t="shared" si="37"/>
        <v>0</v>
      </c>
      <c r="CH306" s="570">
        <f t="shared" si="37"/>
        <v>0</v>
      </c>
      <c r="CI306" s="570">
        <f t="shared" si="37"/>
        <v>0</v>
      </c>
      <c r="CJ306" s="570">
        <f t="shared" si="37"/>
        <v>0</v>
      </c>
      <c r="CL306" s="570">
        <f>CL99</f>
        <v>0</v>
      </c>
      <c r="CM306" s="570">
        <f t="shared" si="38"/>
        <v>0</v>
      </c>
      <c r="CN306" s="570">
        <f t="shared" si="38"/>
        <v>0</v>
      </c>
      <c r="CO306" s="570">
        <f t="shared" si="38"/>
        <v>0</v>
      </c>
      <c r="CP306" s="570">
        <f t="shared" si="38"/>
        <v>0</v>
      </c>
      <c r="CQ306" s="570">
        <f t="shared" si="38"/>
        <v>0</v>
      </c>
      <c r="CR306" s="570">
        <f t="shared" si="38"/>
        <v>0</v>
      </c>
      <c r="CT306" s="570">
        <f>CT99</f>
        <v>0</v>
      </c>
      <c r="CU306" s="570">
        <f t="shared" si="39"/>
        <v>0</v>
      </c>
      <c r="CV306" s="570">
        <f t="shared" si="39"/>
        <v>0</v>
      </c>
      <c r="CW306" s="570">
        <f t="shared" si="39"/>
        <v>0</v>
      </c>
      <c r="CX306" s="570">
        <f t="shared" si="39"/>
        <v>0</v>
      </c>
      <c r="CY306" s="570">
        <f t="shared" si="39"/>
        <v>0</v>
      </c>
      <c r="CZ306" s="570">
        <f t="shared" si="39"/>
        <v>0</v>
      </c>
      <c r="DB306" s="570">
        <f>DB99</f>
        <v>0</v>
      </c>
      <c r="DC306" s="570">
        <f t="shared" si="40"/>
        <v>0</v>
      </c>
      <c r="DD306" s="570">
        <f t="shared" si="40"/>
        <v>0</v>
      </c>
      <c r="DE306" s="570">
        <f t="shared" si="40"/>
        <v>0</v>
      </c>
      <c r="DF306" s="570">
        <f t="shared" si="40"/>
        <v>0</v>
      </c>
      <c r="DG306" s="570">
        <f t="shared" si="40"/>
        <v>0</v>
      </c>
      <c r="DH306" s="570">
        <f t="shared" si="40"/>
        <v>0</v>
      </c>
      <c r="DJ306" s="570">
        <f>DJ99</f>
        <v>0</v>
      </c>
      <c r="DK306" s="570">
        <f t="shared" si="41"/>
        <v>0</v>
      </c>
      <c r="DL306" s="570">
        <f t="shared" si="41"/>
        <v>0</v>
      </c>
      <c r="DM306" s="570">
        <f t="shared" si="41"/>
        <v>0</v>
      </c>
      <c r="DN306" s="570">
        <f t="shared" si="41"/>
        <v>0</v>
      </c>
      <c r="DO306" s="570">
        <f t="shared" si="41"/>
        <v>0</v>
      </c>
      <c r="DP306" s="570">
        <f t="shared" si="41"/>
        <v>0</v>
      </c>
      <c r="DR306" s="570">
        <f>DR99</f>
        <v>0</v>
      </c>
      <c r="DS306" s="570">
        <f t="shared" si="42"/>
        <v>0</v>
      </c>
      <c r="DT306" s="570">
        <f t="shared" si="42"/>
        <v>0</v>
      </c>
      <c r="DU306" s="570">
        <f t="shared" si="42"/>
        <v>0</v>
      </c>
      <c r="DV306" s="570">
        <f t="shared" si="42"/>
        <v>0</v>
      </c>
      <c r="DW306" s="570">
        <f t="shared" si="42"/>
        <v>0</v>
      </c>
      <c r="DX306" s="570">
        <f t="shared" si="42"/>
        <v>0</v>
      </c>
      <c r="DZ306" s="570">
        <f>DZ99</f>
        <v>0</v>
      </c>
      <c r="EA306" s="570">
        <f t="shared" si="43"/>
        <v>0</v>
      </c>
      <c r="EB306" s="570">
        <f t="shared" si="43"/>
        <v>0</v>
      </c>
      <c r="EC306" s="570">
        <f t="shared" si="43"/>
        <v>0</v>
      </c>
      <c r="ED306" s="570">
        <f t="shared" si="43"/>
        <v>0</v>
      </c>
      <c r="EE306" s="570">
        <f t="shared" si="43"/>
        <v>0</v>
      </c>
      <c r="EF306" s="570">
        <f t="shared" si="43"/>
        <v>0</v>
      </c>
      <c r="EH306" s="570">
        <f>EH99</f>
        <v>0</v>
      </c>
      <c r="EI306" s="570">
        <f t="shared" si="44"/>
        <v>0</v>
      </c>
      <c r="EJ306" s="570">
        <f t="shared" si="44"/>
        <v>0</v>
      </c>
      <c r="EK306" s="570">
        <f t="shared" si="44"/>
        <v>0</v>
      </c>
      <c r="EL306" s="570">
        <f t="shared" si="44"/>
        <v>0</v>
      </c>
      <c r="EM306" s="570">
        <f t="shared" si="44"/>
        <v>0</v>
      </c>
      <c r="EN306" s="570">
        <f t="shared" si="44"/>
        <v>0</v>
      </c>
      <c r="EP306" s="570">
        <f>EP99</f>
        <v>0</v>
      </c>
      <c r="EQ306" s="570">
        <f t="shared" si="45"/>
        <v>0</v>
      </c>
      <c r="ER306" s="570">
        <f t="shared" si="45"/>
        <v>0</v>
      </c>
      <c r="ES306" s="570">
        <f t="shared" si="45"/>
        <v>0</v>
      </c>
      <c r="ET306" s="570">
        <f t="shared" si="45"/>
        <v>0</v>
      </c>
      <c r="EU306" s="570">
        <f t="shared" si="45"/>
        <v>0</v>
      </c>
      <c r="EV306" s="570">
        <f t="shared" si="45"/>
        <v>0</v>
      </c>
      <c r="EX306" s="570">
        <f>EX99</f>
        <v>0</v>
      </c>
      <c r="EY306" s="570">
        <f t="shared" si="46"/>
        <v>0</v>
      </c>
      <c r="EZ306" s="570">
        <f t="shared" si="46"/>
        <v>0</v>
      </c>
      <c r="FA306" s="570">
        <f t="shared" si="46"/>
        <v>0</v>
      </c>
      <c r="FB306" s="570">
        <f t="shared" si="46"/>
        <v>0</v>
      </c>
      <c r="FC306" s="570">
        <f t="shared" si="46"/>
        <v>0</v>
      </c>
      <c r="FD306" s="570">
        <f t="shared" si="46"/>
        <v>0</v>
      </c>
      <c r="FF306" s="570">
        <f>FF99</f>
        <v>0</v>
      </c>
      <c r="FG306" s="570">
        <f t="shared" si="47"/>
        <v>0</v>
      </c>
      <c r="FH306" s="570">
        <f t="shared" si="47"/>
        <v>0</v>
      </c>
      <c r="FI306" s="570">
        <f t="shared" si="47"/>
        <v>0</v>
      </c>
      <c r="FJ306" s="570">
        <f t="shared" si="47"/>
        <v>0</v>
      </c>
      <c r="FK306" s="570">
        <f t="shared" si="47"/>
        <v>0</v>
      </c>
      <c r="FL306" s="570">
        <f t="shared" si="47"/>
        <v>0</v>
      </c>
      <c r="FN306" s="570">
        <f>FN99</f>
        <v>0</v>
      </c>
      <c r="FO306" s="570">
        <f t="shared" si="48"/>
        <v>0</v>
      </c>
      <c r="FP306" s="570">
        <f t="shared" si="48"/>
        <v>0</v>
      </c>
      <c r="FQ306" s="570">
        <f t="shared" si="48"/>
        <v>0</v>
      </c>
      <c r="FR306" s="570">
        <f t="shared" si="48"/>
        <v>0</v>
      </c>
      <c r="FS306" s="570">
        <f t="shared" si="48"/>
        <v>0</v>
      </c>
      <c r="FT306" s="570">
        <f t="shared" si="48"/>
        <v>0</v>
      </c>
      <c r="FV306" s="570">
        <f>FV99</f>
        <v>0</v>
      </c>
      <c r="FW306" s="570">
        <f t="shared" si="49"/>
        <v>0</v>
      </c>
      <c r="FX306" s="570">
        <f t="shared" si="49"/>
        <v>0</v>
      </c>
      <c r="FY306" s="570">
        <f t="shared" si="49"/>
        <v>0</v>
      </c>
      <c r="FZ306" s="570">
        <f t="shared" si="49"/>
        <v>0</v>
      </c>
      <c r="GA306" s="570">
        <f t="shared" si="49"/>
        <v>0</v>
      </c>
      <c r="GB306" s="570">
        <f t="shared" si="49"/>
        <v>0</v>
      </c>
      <c r="GD306" s="570">
        <f>GD99</f>
        <v>0</v>
      </c>
      <c r="GE306" s="570">
        <f t="shared" si="50"/>
        <v>0</v>
      </c>
      <c r="GF306" s="570">
        <f t="shared" si="50"/>
        <v>0</v>
      </c>
      <c r="GG306" s="570">
        <f t="shared" si="50"/>
        <v>0</v>
      </c>
      <c r="GH306" s="570">
        <f t="shared" si="50"/>
        <v>0</v>
      </c>
      <c r="GI306" s="570">
        <f t="shared" si="50"/>
        <v>0</v>
      </c>
      <c r="GJ306" s="570">
        <f t="shared" si="50"/>
        <v>0</v>
      </c>
      <c r="GL306" s="570">
        <f>GL99</f>
        <v>0</v>
      </c>
      <c r="GM306" s="570">
        <f t="shared" si="51"/>
        <v>0</v>
      </c>
      <c r="GN306" s="570">
        <f t="shared" si="51"/>
        <v>0</v>
      </c>
      <c r="GO306" s="570">
        <f t="shared" si="51"/>
        <v>0</v>
      </c>
      <c r="GP306" s="570">
        <f t="shared" si="51"/>
        <v>0</v>
      </c>
      <c r="GQ306" s="570">
        <f t="shared" si="51"/>
        <v>0</v>
      </c>
      <c r="GR306" s="570">
        <f t="shared" si="51"/>
        <v>0</v>
      </c>
      <c r="GT306" s="570">
        <f>GT99</f>
        <v>0</v>
      </c>
      <c r="GU306" s="570">
        <f t="shared" si="52"/>
        <v>0</v>
      </c>
      <c r="GV306" s="570">
        <f t="shared" si="52"/>
        <v>0</v>
      </c>
      <c r="GW306" s="570">
        <f t="shared" si="52"/>
        <v>0</v>
      </c>
      <c r="GX306" s="570">
        <f t="shared" si="52"/>
        <v>0</v>
      </c>
      <c r="GY306" s="570">
        <f t="shared" si="52"/>
        <v>0</v>
      </c>
      <c r="GZ306" s="570">
        <f t="shared" si="52"/>
        <v>0</v>
      </c>
      <c r="HB306" s="570">
        <f>HB99</f>
        <v>0</v>
      </c>
      <c r="HC306" s="570">
        <f t="shared" si="53"/>
        <v>0</v>
      </c>
      <c r="HD306" s="570">
        <f t="shared" si="53"/>
        <v>0</v>
      </c>
      <c r="HE306" s="570">
        <f t="shared" si="53"/>
        <v>0</v>
      </c>
      <c r="HF306" s="570">
        <f t="shared" si="53"/>
        <v>0</v>
      </c>
      <c r="HG306" s="570">
        <f t="shared" si="53"/>
        <v>0</v>
      </c>
      <c r="HH306" s="570">
        <f t="shared" si="53"/>
        <v>0</v>
      </c>
      <c r="HJ306" s="570">
        <f>HJ99</f>
        <v>0</v>
      </c>
      <c r="HK306" s="570">
        <f t="shared" si="54"/>
        <v>0</v>
      </c>
      <c r="HL306" s="570">
        <f t="shared" si="54"/>
        <v>0</v>
      </c>
      <c r="HM306" s="570">
        <f t="shared" si="54"/>
        <v>0</v>
      </c>
      <c r="HN306" s="570">
        <f t="shared" si="54"/>
        <v>0</v>
      </c>
      <c r="HO306" s="570">
        <f t="shared" si="54"/>
        <v>0</v>
      </c>
      <c r="HP306" s="570">
        <f t="shared" si="54"/>
        <v>0</v>
      </c>
      <c r="HR306" s="570">
        <f>HR99</f>
        <v>0</v>
      </c>
      <c r="HS306" s="570">
        <f t="shared" si="55"/>
        <v>0</v>
      </c>
      <c r="HT306" s="570">
        <f t="shared" si="55"/>
        <v>0</v>
      </c>
      <c r="HU306" s="570">
        <f t="shared" si="55"/>
        <v>0</v>
      </c>
      <c r="HV306" s="570">
        <f t="shared" si="55"/>
        <v>0</v>
      </c>
      <c r="HW306" s="570">
        <f t="shared" si="55"/>
        <v>0</v>
      </c>
      <c r="HX306" s="570">
        <f t="shared" si="55"/>
        <v>0</v>
      </c>
      <c r="HZ306" s="570">
        <f>HZ99</f>
        <v>0</v>
      </c>
      <c r="IA306" s="570">
        <f t="shared" si="56"/>
        <v>0</v>
      </c>
      <c r="IB306" s="570">
        <f t="shared" si="56"/>
        <v>0</v>
      </c>
      <c r="IC306" s="570">
        <f t="shared" si="56"/>
        <v>0</v>
      </c>
      <c r="ID306" s="570">
        <f t="shared" si="56"/>
        <v>0</v>
      </c>
      <c r="IE306" s="570">
        <f t="shared" si="56"/>
        <v>0</v>
      </c>
      <c r="IF306" s="570">
        <f t="shared" si="56"/>
        <v>0</v>
      </c>
      <c r="IH306" s="570">
        <f t="shared" ref="IH306:IN306" si="61">IH99</f>
        <v>0</v>
      </c>
      <c r="II306" s="570">
        <f t="shared" si="61"/>
        <v>0</v>
      </c>
      <c r="IJ306" s="570">
        <f t="shared" si="61"/>
        <v>0</v>
      </c>
      <c r="IK306" s="570">
        <f t="shared" si="61"/>
        <v>0</v>
      </c>
      <c r="IL306" s="570">
        <f t="shared" si="61"/>
        <v>0</v>
      </c>
      <c r="IM306" s="570">
        <f t="shared" si="61"/>
        <v>0</v>
      </c>
      <c r="IN306" s="570">
        <f t="shared" si="61"/>
        <v>0</v>
      </c>
      <c r="IP306" s="570">
        <f t="shared" ref="IP306:IV306" si="62">IP99</f>
        <v>0</v>
      </c>
      <c r="IQ306" s="570">
        <f t="shared" si="62"/>
        <v>0</v>
      </c>
      <c r="IR306" s="570">
        <f t="shared" si="62"/>
        <v>0</v>
      </c>
      <c r="IS306" s="570">
        <f t="shared" si="62"/>
        <v>0</v>
      </c>
      <c r="IT306" s="570">
        <f t="shared" si="62"/>
        <v>0</v>
      </c>
      <c r="IU306" s="570">
        <f t="shared" si="62"/>
        <v>0</v>
      </c>
      <c r="IV306" s="570">
        <f t="shared" si="62"/>
        <v>0</v>
      </c>
    </row>
  </sheetData>
  <sheetProtection password="83C1" sheet="1" objects="1" scenarios="1"/>
  <mergeCells count="9">
    <mergeCell ref="B226:C226"/>
    <mergeCell ref="B19:C19"/>
    <mergeCell ref="B4:J4"/>
    <mergeCell ref="D5:F5"/>
    <mergeCell ref="F1:I1"/>
    <mergeCell ref="F2:I2"/>
    <mergeCell ref="B210:H210"/>
    <mergeCell ref="B209:H209"/>
    <mergeCell ref="B99:D99"/>
  </mergeCells>
  <phoneticPr fontId="4" type="noConversion"/>
  <conditionalFormatting sqref="F288 H288 F296 H296 F304 H304 F280 H280">
    <cfRule type="expression" dxfId="42" priority="1" stopIfTrue="1">
      <formula>AND($F279=0,$H279=0,$F278=0,$H278=0,$F277=0,$H277=0,$F276=0,$H276=0,$F275=0,$H275=0)</formula>
    </cfRule>
  </conditionalFormatting>
  <dataValidations disablePrompts="1" count="1">
    <dataValidation type="list" showErrorMessage="1" errorTitle="כותרת התאמה שגויה" error="יש לבחור ערך מתוך הרשימה" sqref="B83">
      <formula1>"מימון מעודפים מצטברים התאמה מס':, סגירת תב""ר באמצעות הגדלת הגרעון המצטבר התאמה מס':"</formula1>
    </dataValidation>
  </dataValidations>
  <hyperlinks>
    <hyperlink ref="A3" location="'תוכן הענינים'!A1" tooltip="לחץ להצגת גליון תוכן הענינים" display="הצג תוכן ענינים"/>
  </hyperlinks>
  <pageMargins left="0.75" right="0.75" top="0.75" bottom="1" header="0.25" footer="0.5"/>
  <pageSetup paperSize="9" scale="95" orientation="portrait" blackAndWhite="1" horizontalDpi="300" verticalDpi="300" r:id="rId1"/>
  <headerFooter alignWithMargins="0">
    <oddHeader>&amp;L&amp;8&amp;A</oddHeader>
    <oddFooter>&amp;C&amp;8&amp;P</oddFooter>
  </headerFooter>
  <rowBreaks count="2" manualBreakCount="2">
    <brk id="44" max="16383" man="1"/>
    <brk id="251" min="1"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52</vt:i4>
      </vt:variant>
      <vt:variant>
        <vt:lpstr>טווחים בעלי שם</vt:lpstr>
      </vt:variant>
      <vt:variant>
        <vt:i4>114</vt:i4>
      </vt:variant>
    </vt:vector>
  </HeadingPairs>
  <TitlesOfParts>
    <vt:vector size="166" baseType="lpstr">
      <vt:lpstr>פתיח</vt:lpstr>
      <vt:lpstr>תוכן ענינים להדפסה</vt:lpstr>
      <vt:lpstr>דוח המבקרים</vt:lpstr>
      <vt:lpstr>טופס 1 אקטיב</vt:lpstr>
      <vt:lpstr>טופס 1 פאסיב</vt:lpstr>
      <vt:lpstr>טופס 2</vt:lpstr>
      <vt:lpstr>טופס 3</vt:lpstr>
      <vt:lpstr>טופס 4</vt:lpstr>
      <vt:lpstr>נתונים והתאמות לטופס 4</vt:lpstr>
      <vt:lpstr>ביאורים 1, 2 א-ב</vt:lpstr>
      <vt:lpstr>ביאור 2 ג-ז</vt:lpstr>
      <vt:lpstr>ביאור 2 ח-יד</vt:lpstr>
      <vt:lpstr>ביאור 3</vt:lpstr>
      <vt:lpstr>ביאור 3 המשך</vt:lpstr>
      <vt:lpstr>ביאור 4</vt:lpstr>
      <vt:lpstr>ביאור 5</vt:lpstr>
      <vt:lpstr>ביאורים 6-9</vt:lpstr>
      <vt:lpstr>ביאורים נוספים</vt:lpstr>
      <vt:lpstr>נספח 2 לטופס 1</vt:lpstr>
      <vt:lpstr>נספח 2 לטופס 1 - פירוט א</vt:lpstr>
      <vt:lpstr>נספח 2 לטופס 1 - פירוט ב</vt:lpstr>
      <vt:lpstr>נספח 2 לטופס 1 - פירוט ג</vt:lpstr>
      <vt:lpstr>נספח 2 לטופס 1 - פירוט ד</vt:lpstr>
      <vt:lpstr>נספח 3 לטופס 1</vt:lpstr>
      <vt:lpstr>נספח 1 לטופס 2</vt:lpstr>
      <vt:lpstr>נספח 1 לטופס 2  המשך</vt:lpstr>
      <vt:lpstr>נספח 2 לטופס 2</vt:lpstr>
      <vt:lpstr>נספח 3 לטופס 2</vt:lpstr>
      <vt:lpstr>נספח 4 לטופס 2 חלק א</vt:lpstr>
      <vt:lpstr>נספח 4 לטופס 2 חלק ב</vt:lpstr>
      <vt:lpstr>נספח 5 לטופס 2</vt:lpstr>
      <vt:lpstr>נספח 6 לטופס 2</vt:lpstr>
      <vt:lpstr>נספח 7 לטופס 2</vt:lpstr>
      <vt:lpstr>נספח 8 לטופס 2</vt:lpstr>
      <vt:lpstr>נספח 9 לטופס 2</vt:lpstr>
      <vt:lpstr>נספח 1 לטופס 3</vt:lpstr>
      <vt:lpstr>דוח תמיכות</vt:lpstr>
      <vt:lpstr>ספר לבן</vt:lpstr>
      <vt:lpstr>דוח לתושב</vt:lpstr>
      <vt:lpstr>נספח א</vt:lpstr>
      <vt:lpstr>נתונים לנספח 4 לטופס 2 חלק א</vt:lpstr>
      <vt:lpstr>בדיקות הצלבה</vt:lpstr>
      <vt:lpstr>נתונים משותפים</vt:lpstr>
      <vt:lpstr>נתונים כלליים</vt:lpstr>
      <vt:lpstr>נתונים לטופס 1</vt:lpstr>
      <vt:lpstr>נתונים לטופס 3</vt:lpstr>
      <vt:lpstr>נתונים לנספח 2 לטופס 1</vt:lpstr>
      <vt:lpstr>נתונים לנספח 1 לטופס 2</vt:lpstr>
      <vt:lpstr>הגדרות כלליות</vt:lpstr>
      <vt:lpstr>תוכן הענינים</vt:lpstr>
      <vt:lpstr>מקרא</vt:lpstr>
      <vt:lpstr>ביאורים 1, 2 א-ב ישן</vt:lpstr>
      <vt:lpstr>'דוח המבקרים'!_ftnref1</vt:lpstr>
      <vt:lpstr>GufMevukar</vt:lpstr>
      <vt:lpstr>Shana</vt:lpstr>
      <vt:lpstr>ShanaKodemet</vt:lpstr>
      <vt:lpstr>SugGufMevukar</vt:lpstr>
      <vt:lpstr>'בדיקות הצלבה'!WPrint_Area_W</vt:lpstr>
      <vt:lpstr>'ביאור 2 ג-ז'!WPrint_Area_W</vt:lpstr>
      <vt:lpstr>'ביאור 2 ח-יד'!WPrint_Area_W</vt:lpstr>
      <vt:lpstr>'ביאור 3'!WPrint_Area_W</vt:lpstr>
      <vt:lpstr>'ביאור 4'!WPrint_Area_W</vt:lpstr>
      <vt:lpstr>'ביאור 5'!WPrint_Area_W</vt:lpstr>
      <vt:lpstr>'ביאורים 1, 2 א-ב'!WPrint_Area_W</vt:lpstr>
      <vt:lpstr>'ביאורים 1, 2 א-ב ישן'!WPrint_Area_W</vt:lpstr>
      <vt:lpstr>'ביאורים 6-9'!WPrint_Area_W</vt:lpstr>
      <vt:lpstr>'ביאורים נוספים'!WPrint_Area_W</vt:lpstr>
      <vt:lpstr>'דוח המבקרים'!WPrint_Area_W</vt:lpstr>
      <vt:lpstr>'דוח לתושב'!WPrint_Area_W</vt:lpstr>
      <vt:lpstr>'דוח תמיכות'!WPrint_Area_W</vt:lpstr>
      <vt:lpstr>'הגדרות כלליות'!WPrint_Area_W</vt:lpstr>
      <vt:lpstr>'טופס 1 אקטיב'!WPrint_Area_W</vt:lpstr>
      <vt:lpstr>'טופס 1 פאסיב'!WPrint_Area_W</vt:lpstr>
      <vt:lpstr>'טופס 2'!WPrint_Area_W</vt:lpstr>
      <vt:lpstr>'טופס 3'!WPrint_Area_W</vt:lpstr>
      <vt:lpstr>'טופס 4'!WPrint_Area_W</vt:lpstr>
      <vt:lpstr>מקרא!WPrint_Area_W</vt:lpstr>
      <vt:lpstr>'נספח 1 לטופס 2'!WPrint_Area_W</vt:lpstr>
      <vt:lpstr>'נספח 1 לטופס 2  המשך'!WPrint_Area_W</vt:lpstr>
      <vt:lpstr>'נספח 1 לטופס 3'!WPrint_Area_W</vt:lpstr>
      <vt:lpstr>'נספח 2 לטופס 1'!WPrint_Area_W</vt:lpstr>
      <vt:lpstr>'נספח 2 לטופס 1 - פירוט א'!WPrint_Area_W</vt:lpstr>
      <vt:lpstr>'נספח 2 לטופס 1 - פירוט ב'!WPrint_Area_W</vt:lpstr>
      <vt:lpstr>'נספח 2 לטופס 1 - פירוט ג'!WPrint_Area_W</vt:lpstr>
      <vt:lpstr>'נספח 2 לטופס 1 - פירוט ד'!WPrint_Area_W</vt:lpstr>
      <vt:lpstr>'נספח 2 לטופס 2'!WPrint_Area_W</vt:lpstr>
      <vt:lpstr>'נספח 3 לטופס 1'!WPrint_Area_W</vt:lpstr>
      <vt:lpstr>'נספח 3 לטופס 2'!WPrint_Area_W</vt:lpstr>
      <vt:lpstr>'נספח 4 לטופס 2 חלק א'!WPrint_Area_W</vt:lpstr>
      <vt:lpstr>'נספח 4 לטופס 2 חלק ב'!WPrint_Area_W</vt:lpstr>
      <vt:lpstr>'נספח 5 לטופס 2'!WPrint_Area_W</vt:lpstr>
      <vt:lpstr>'נספח 6 לטופס 2'!WPrint_Area_W</vt:lpstr>
      <vt:lpstr>'נספח 7 לטופס 2'!WPrint_Area_W</vt:lpstr>
      <vt:lpstr>'נספח 8 לטופס 2'!WPrint_Area_W</vt:lpstr>
      <vt:lpstr>'נספח 9 לטופס 2'!WPrint_Area_W</vt:lpstr>
      <vt:lpstr>'נספח א'!WPrint_Area_W</vt:lpstr>
      <vt:lpstr>'נתונים והתאמות לטופס 4'!WPrint_Area_W</vt:lpstr>
      <vt:lpstr>'נתונים כלליים'!WPrint_Area_W</vt:lpstr>
      <vt:lpstr>'נתונים לטופס 1'!WPrint_Area_W</vt:lpstr>
      <vt:lpstr>'נתונים לטופס 3'!WPrint_Area_W</vt:lpstr>
      <vt:lpstr>'נתונים לנספח 1 לטופס 2'!WPrint_Area_W</vt:lpstr>
      <vt:lpstr>'נתונים לנספח 2 לטופס 1'!WPrint_Area_W</vt:lpstr>
      <vt:lpstr>'נתונים לנספח 4 לטופס 2 חלק א'!WPrint_Area_W</vt:lpstr>
      <vt:lpstr>'נתונים משותפים'!WPrint_Area_W</vt:lpstr>
      <vt:lpstr>'ספר לבן'!WPrint_Area_W</vt:lpstr>
      <vt:lpstr>פתיח!WPrint_Area_W</vt:lpstr>
      <vt:lpstr>'תוכן הענינים'!WPrint_Area_W</vt:lpstr>
      <vt:lpstr>'תוכן ענינים להדפסה'!WPrint_Area_W</vt:lpstr>
      <vt:lpstr>'בדיקות הצלבה'!WPrint_TitlesW</vt:lpstr>
      <vt:lpstr>'נתונים משותפים'!WPrint_TitlesW</vt:lpstr>
      <vt:lpstr>'ביאורים 1, 2 א-ב'!ביאור1</vt:lpstr>
      <vt:lpstr>ביאור1</vt:lpstr>
      <vt:lpstr>ביאור1א</vt:lpstr>
      <vt:lpstr>ביאור1ב</vt:lpstr>
      <vt:lpstr>ביאור1ג</vt:lpstr>
      <vt:lpstr>ביאור1ד</vt:lpstr>
      <vt:lpstr>ביאור1ה</vt:lpstr>
      <vt:lpstr>ביאור2</vt:lpstr>
      <vt:lpstr>ביאור2ב</vt:lpstr>
      <vt:lpstr>ביאור3</vt:lpstr>
      <vt:lpstr>ביאור3_חדש</vt:lpstr>
      <vt:lpstr>ביאור3ב</vt:lpstr>
      <vt:lpstr>ביאור3ג</vt:lpstr>
      <vt:lpstr>ביאור4</vt:lpstr>
      <vt:lpstr>ביאור5</vt:lpstr>
      <vt:lpstr>ביאור5_ב</vt:lpstr>
      <vt:lpstr>ביאור6</vt:lpstr>
      <vt:lpstr>ביאורים_נוספים2</vt:lpstr>
      <vt:lpstr>דוח_המבקרים</vt:lpstr>
      <vt:lpstr>דוח_תמיכות</vt:lpstr>
      <vt:lpstr>דוחרוח</vt:lpstr>
      <vt:lpstr>התאמות_לטופס4</vt:lpstr>
      <vt:lpstr>התאמות_לטופס4_ב</vt:lpstr>
      <vt:lpstr>טופס1_אקטיב</vt:lpstr>
      <vt:lpstr>טופס1_פאסיב</vt:lpstr>
      <vt:lpstr>טופס2</vt:lpstr>
      <vt:lpstr>טופס2_ב</vt:lpstr>
      <vt:lpstr>טופס3</vt:lpstr>
      <vt:lpstr>טופס4</vt:lpstr>
      <vt:lpstr>נספח_2לטופס1ב</vt:lpstr>
      <vt:lpstr>נספח_א</vt:lpstr>
      <vt:lpstr>נספח1_לטופס2_חלק_א</vt:lpstr>
      <vt:lpstr>'נספח 3 לטופס 2'!נספח1_לטופס2_חלק_ג</vt:lpstr>
      <vt:lpstr>נספח1_לטופס2_חלק_ג</vt:lpstr>
      <vt:lpstr>נספח1_לטופס3</vt:lpstr>
      <vt:lpstr>נספח2_לטופס1</vt:lpstr>
      <vt:lpstr>נספח2_לטופס1_פירוט_א</vt:lpstr>
      <vt:lpstr>נספח2_לטופס1_פירוט_ב</vt:lpstr>
      <vt:lpstr>נספח2_לטופס1_פירוט_ג</vt:lpstr>
      <vt:lpstr>נספח2_לטופס1_פירוט_ד</vt:lpstr>
      <vt:lpstr>'נספח 2 לטופס 2'!נספח2_לטופס2</vt:lpstr>
      <vt:lpstr>נספח2_לטופס2</vt:lpstr>
      <vt:lpstr>נספח3_לטופס1</vt:lpstr>
      <vt:lpstr>נספח3_לטופס2</vt:lpstr>
      <vt:lpstr>נספח3_לטופס2_ב</vt:lpstr>
      <vt:lpstr>'נספח 2 לטופס 1 - פירוט ד'!נספח4_לטופס2</vt:lpstr>
      <vt:lpstr>נספח4_לטופס2</vt:lpstr>
      <vt:lpstr>נספח4_לטופס2_ב</vt:lpstr>
      <vt:lpstr>נספח5_לטופס2</vt:lpstr>
      <vt:lpstr>נספח6_לטופס2</vt:lpstr>
      <vt:lpstr>נספח7_לטופס2</vt:lpstr>
      <vt:lpstr>נספח8_לטופס2</vt:lpstr>
      <vt:lpstr>נספח9_לטופס2</vt:lpstr>
      <vt:lpstr>'דוח המבקרים'!פתיח</vt:lpstr>
      <vt:lpstr>פתיח</vt:lpstr>
      <vt:lpstr>תוכן_ענינים_להדפסה</vt:lpstr>
    </vt:vector>
  </TitlesOfParts>
  <Company>IBM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NehamaP</dc:creator>
  <cp:lastModifiedBy>Dover-Avner Perlmutter</cp:lastModifiedBy>
  <cp:lastPrinted>2016-08-08T10:02:30Z</cp:lastPrinted>
  <dcterms:created xsi:type="dcterms:W3CDTF">2003-12-01T13:23:06Z</dcterms:created>
  <dcterms:modified xsi:type="dcterms:W3CDTF">2016-09-26T07:46:26Z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rrentAppVersion">
    <vt:lpwstr>14.0</vt:lpwstr>
  </property>
  <property fmtid="{D5CDD505-2E9C-101B-9397-08002B2CF9AE}" pid="3" name="FileSend">
    <vt:bool>false</vt:bool>
  </property>
  <property fmtid="{D5CDD505-2E9C-101B-9397-08002B2CF9AE}" pid="4" name="ExpirationDate">
    <vt:lpwstr>31/12/2016</vt:lpwstr>
  </property>
  <property fmtid="{D5CDD505-2E9C-101B-9397-08002B2CF9AE}" pid="5" name="DateCreatedMsg">
    <vt:lpwstr>מרץ 2016</vt:lpwstr>
  </property>
  <property fmtid="{D5CDD505-2E9C-101B-9397-08002B2CF9AE}" pid="6" name="CurrentWordTemplateVersion">
    <vt:lpwstr>5.0</vt:lpwstr>
  </property>
  <property fmtid="{D5CDD505-2E9C-101B-9397-08002B2CF9AE}" pid="7" name="DMS_WORKBOOK_UID">
    <vt:lpwstr>56725e59a5924d2890a8348e6de25c18</vt:lpwstr>
  </property>
</Properties>
</file>